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H-My Documents\010717アレルギーっ子の生活HP作成\"/>
    </mc:Choice>
  </mc:AlternateContent>
  <xr:revisionPtr revIDLastSave="0" documentId="13_ncr:1_{99CACBD6-9D9A-462B-8339-D086C3BA1E8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1" i="1" l="1"/>
  <c r="J121" i="1" s="1"/>
  <c r="N121" i="1" s="1"/>
  <c r="J123" i="1" l="1"/>
  <c r="N123" i="1" s="1"/>
  <c r="K123" i="1" l="1"/>
  <c r="M102" i="1"/>
  <c r="J101" i="1"/>
  <c r="J56" i="1"/>
  <c r="K56" i="1" s="1"/>
  <c r="K101" i="1" l="1"/>
  <c r="J116" i="1"/>
  <c r="J124" i="1"/>
  <c r="N124" i="1" s="1"/>
  <c r="J122" i="1"/>
  <c r="K122" i="1" s="1"/>
  <c r="K124" i="1" l="1"/>
  <c r="G74" i="1" l="1"/>
  <c r="G60" i="1" l="1"/>
  <c r="G54" i="1"/>
  <c r="G42" i="1"/>
  <c r="J42" i="1" s="1"/>
  <c r="K42" i="1" s="1"/>
  <c r="G28" i="1"/>
  <c r="J28" i="1" s="1"/>
  <c r="K28" i="1" s="1"/>
  <c r="G30" i="1"/>
  <c r="J30" i="1" s="1"/>
  <c r="K30" i="1" s="1"/>
  <c r="G29" i="1"/>
  <c r="J29" i="1" s="1"/>
  <c r="K29" i="1" s="1"/>
  <c r="G27" i="1"/>
  <c r="J27" i="1" s="1"/>
  <c r="K27" i="1" s="1"/>
  <c r="G26" i="1"/>
  <c r="J26" i="1" s="1"/>
  <c r="K26" i="1" s="1"/>
  <c r="G25" i="1"/>
  <c r="J25" i="1" s="1"/>
  <c r="K25" i="1" s="1"/>
  <c r="G24" i="1"/>
  <c r="M28" i="1"/>
  <c r="G23" i="1"/>
  <c r="J23" i="1" s="1"/>
  <c r="K23" i="1" s="1"/>
  <c r="G22" i="1"/>
  <c r="J22" i="1" s="1"/>
  <c r="K22" i="1" s="1"/>
  <c r="G21" i="1"/>
  <c r="J21" i="1" s="1"/>
  <c r="K21" i="1" s="1"/>
  <c r="G20" i="1"/>
  <c r="J20" i="1" s="1"/>
  <c r="K20" i="1" s="1"/>
  <c r="J77" i="1" l="1"/>
  <c r="K77" i="1" s="1"/>
  <c r="L77" i="1"/>
  <c r="J88" i="1"/>
  <c r="K88" i="1" s="1"/>
  <c r="J97" i="1"/>
  <c r="K97" i="1" s="1"/>
  <c r="J106" i="1"/>
  <c r="M21" i="1" l="1"/>
  <c r="M18" i="1"/>
  <c r="M32" i="1"/>
  <c r="J32" i="1"/>
  <c r="K32" i="1" s="1"/>
  <c r="M30" i="1"/>
  <c r="M27" i="1"/>
  <c r="M25" i="1"/>
  <c r="M23" i="1"/>
  <c r="G18" i="1"/>
  <c r="J18" i="1" s="1"/>
  <c r="K18" i="1" s="1"/>
  <c r="M17" i="1"/>
  <c r="G17" i="1"/>
  <c r="J17" i="1" s="1"/>
  <c r="K17" i="1" s="1"/>
  <c r="M16" i="1"/>
  <c r="G16" i="1"/>
  <c r="J16" i="1" s="1"/>
  <c r="K16" i="1" s="1"/>
  <c r="M14" i="1"/>
  <c r="G14" i="1"/>
  <c r="J14" i="1" s="1"/>
  <c r="K14" i="1" s="1"/>
  <c r="G15" i="1"/>
  <c r="J15" i="1" s="1"/>
  <c r="K15" i="1" s="1"/>
  <c r="M15" i="1"/>
  <c r="M12" i="1"/>
  <c r="G12" i="1"/>
  <c r="J12" i="1" s="1"/>
  <c r="K12" i="1" s="1"/>
  <c r="M10" i="1"/>
  <c r="G10" i="1"/>
  <c r="J10" i="1" s="1"/>
  <c r="K10" i="1" s="1"/>
  <c r="M9" i="1"/>
  <c r="G9" i="1"/>
  <c r="J9" i="1" s="1"/>
  <c r="K9" i="1" s="1"/>
  <c r="G73" i="1" l="1"/>
  <c r="K79" i="1"/>
  <c r="G84" i="1" l="1"/>
  <c r="G62" i="1"/>
  <c r="G61" i="1"/>
  <c r="M37" i="1"/>
  <c r="M29" i="1"/>
  <c r="M20" i="1"/>
  <c r="G11" i="1"/>
  <c r="G8" i="1"/>
  <c r="J8" i="1" s="1"/>
  <c r="J7" i="1"/>
  <c r="K8" i="1" l="1"/>
  <c r="K116" i="1"/>
  <c r="N116" i="1" l="1"/>
  <c r="N125" i="1" s="1"/>
  <c r="O125" i="1" l="1"/>
  <c r="L107" i="1"/>
  <c r="K112" i="1"/>
  <c r="J107" i="1" l="1"/>
  <c r="J84" i="1" l="1"/>
  <c r="K84" i="1" s="1"/>
  <c r="J90" i="1" l="1"/>
  <c r="K107" i="1" l="1"/>
  <c r="J58" i="1"/>
  <c r="K58" i="1" s="1"/>
  <c r="G13" i="1" l="1"/>
  <c r="J13" i="1" s="1"/>
  <c r="K13" i="1" s="1"/>
  <c r="M39" i="1"/>
  <c r="G19" i="1" l="1"/>
  <c r="J19" i="1" l="1"/>
  <c r="K19" i="1" s="1"/>
  <c r="M104" i="1"/>
  <c r="J74" i="1"/>
  <c r="K74" i="1" s="1"/>
  <c r="J64" i="1"/>
  <c r="K64" i="1" s="1"/>
  <c r="J54" i="1"/>
  <c r="K54" i="1" s="1"/>
  <c r="J55" i="1"/>
  <c r="K55" i="1" s="1"/>
  <c r="G53" i="1"/>
  <c r="J53" i="1" s="1"/>
  <c r="K53" i="1" s="1"/>
  <c r="J41" i="1"/>
  <c r="K41" i="1" s="1"/>
  <c r="J24" i="1"/>
  <c r="K24" i="1" s="1"/>
  <c r="J11" i="1"/>
  <c r="J94" i="1"/>
  <c r="K94" i="1" s="1"/>
  <c r="J92" i="1"/>
  <c r="K92" i="1" s="1"/>
  <c r="J93" i="1"/>
  <c r="K93" i="1" s="1"/>
  <c r="J81" i="1"/>
  <c r="K106" i="1"/>
  <c r="M105" i="1"/>
  <c r="J105" i="1"/>
  <c r="K105" i="1" s="1"/>
  <c r="J104" i="1"/>
  <c r="K104" i="1" s="1"/>
  <c r="J103" i="1"/>
  <c r="K103" i="1" s="1"/>
  <c r="J50" i="1"/>
  <c r="K50" i="1" s="1"/>
  <c r="J60" i="1"/>
  <c r="K60" i="1" s="1"/>
  <c r="J61" i="1"/>
  <c r="K61" i="1" s="1"/>
  <c r="M74" i="1"/>
  <c r="M72" i="1"/>
  <c r="M26" i="1"/>
  <c r="M24" i="1"/>
  <c r="M22" i="1"/>
  <c r="M11" i="1"/>
  <c r="M59" i="1"/>
  <c r="M55" i="1"/>
  <c r="M54" i="1"/>
  <c r="J37" i="1"/>
  <c r="K37" i="1" s="1"/>
  <c r="J39" i="1"/>
  <c r="K39" i="1" s="1"/>
  <c r="J40" i="1"/>
  <c r="K40" i="1" s="1"/>
  <c r="J44" i="1"/>
  <c r="K44" i="1" s="1"/>
  <c r="J45" i="1"/>
  <c r="K45" i="1" s="1"/>
  <c r="J46" i="1"/>
  <c r="K46" i="1" s="1"/>
  <c r="J47" i="1"/>
  <c r="K47" i="1" s="1"/>
  <c r="J48" i="1"/>
  <c r="K48" i="1" s="1"/>
  <c r="J51" i="1"/>
  <c r="K51" i="1" s="1"/>
  <c r="J59" i="1"/>
  <c r="K59" i="1" s="1"/>
  <c r="J62" i="1"/>
  <c r="K62" i="1" s="1"/>
  <c r="J65" i="1"/>
  <c r="K65" i="1" s="1"/>
  <c r="J66" i="1"/>
  <c r="K66" i="1" s="1"/>
  <c r="J68" i="1"/>
  <c r="K68" i="1" s="1"/>
  <c r="G69" i="1"/>
  <c r="J69" i="1" s="1"/>
  <c r="K69" i="1" s="1"/>
  <c r="G71" i="1"/>
  <c r="J71" i="1" s="1"/>
  <c r="K71" i="1" s="1"/>
  <c r="J72" i="1"/>
  <c r="K72" i="1" s="1"/>
  <c r="J73" i="1"/>
  <c r="K73" i="1" s="1"/>
  <c r="J89" i="1"/>
  <c r="K89" i="1" s="1"/>
  <c r="G91" i="1"/>
  <c r="J91" i="1" s="1"/>
  <c r="K91" i="1" s="1"/>
  <c r="J102" i="1"/>
  <c r="K102" i="1" s="1"/>
  <c r="L69" i="1"/>
  <c r="L73" i="1"/>
  <c r="M40" i="1"/>
  <c r="M41" i="1"/>
  <c r="M42" i="1"/>
  <c r="J52" i="1"/>
  <c r="K52" i="1" s="1"/>
  <c r="J108" i="1" l="1"/>
  <c r="K108" i="1" s="1"/>
  <c r="M108" i="1"/>
  <c r="K81" i="1"/>
  <c r="K11" i="1"/>
  <c r="L108" i="1"/>
  <c r="J110" i="1" l="1"/>
  <c r="J112" i="1" s="1"/>
  <c r="L110" i="1" l="1"/>
  <c r="M110" i="1" l="1"/>
  <c r="N110" i="1" s="1"/>
  <c r="L112" i="1"/>
  <c r="M112" i="1" l="1"/>
  <c r="O110" i="1"/>
  <c r="N112" i="1"/>
  <c r="P110" i="1" l="1"/>
  <c r="O127" i="1"/>
</calcChain>
</file>

<file path=xl/sharedStrings.xml><?xml version="1.0" encoding="utf-8"?>
<sst xmlns="http://schemas.openxmlformats.org/spreadsheetml/2006/main" count="296" uniqueCount="238">
  <si>
    <t>Rate 1USD=*yen</t>
  </si>
  <si>
    <t xml:space="preserve">personnel expenses(yen)/h </t>
  </si>
  <si>
    <t>Part No</t>
  </si>
  <si>
    <t>diameter</t>
  </si>
  <si>
    <t>length</t>
  </si>
  <si>
    <t>Uinit Price (yen)</t>
  </si>
  <si>
    <t xml:space="preserve">quantity
</t>
  </si>
  <si>
    <t>Spare</t>
  </si>
  <si>
    <t>Price(yen)</t>
  </si>
  <si>
    <t>Price(USD)</t>
  </si>
  <si>
    <t>N01</t>
  </si>
  <si>
    <t>Carbon rod</t>
  </si>
  <si>
    <t>Tail</t>
  </si>
  <si>
    <t>Inside</t>
  </si>
  <si>
    <t>1.2mm</t>
  </si>
  <si>
    <t>N03</t>
  </si>
  <si>
    <t>Outside</t>
  </si>
  <si>
    <t>N04</t>
  </si>
  <si>
    <t xml:space="preserve">Tail </t>
  </si>
  <si>
    <t>N06</t>
  </si>
  <si>
    <t>Wing</t>
  </si>
  <si>
    <t>Base</t>
  </si>
  <si>
    <t>N07</t>
  </si>
  <si>
    <t>Tip</t>
  </si>
  <si>
    <t>Body</t>
  </si>
  <si>
    <t>N12</t>
  </si>
  <si>
    <t>Piano line</t>
  </si>
  <si>
    <t>wing</t>
  </si>
  <si>
    <t>20mm plus bent part</t>
  </si>
  <si>
    <t>N14</t>
  </si>
  <si>
    <t>Rear</t>
  </si>
  <si>
    <t>N15</t>
  </si>
  <si>
    <t>connection rod</t>
  </si>
  <si>
    <t>1.0mm</t>
  </si>
  <si>
    <t>N17</t>
  </si>
  <si>
    <t xml:space="preserve">connection stick of Articulated wing </t>
  </si>
  <si>
    <t>N18</t>
  </si>
  <si>
    <t>Stopper</t>
  </si>
  <si>
    <t>N16</t>
  </si>
  <si>
    <t>connection rod stopper</t>
  </si>
  <si>
    <t>N20</t>
  </si>
  <si>
    <t>Base stopper</t>
  </si>
  <si>
    <t>N21</t>
  </si>
  <si>
    <t>Arm stopper</t>
  </si>
  <si>
    <t>N22</t>
  </si>
  <si>
    <t>Rear stopper</t>
  </si>
  <si>
    <t>N23</t>
  </si>
  <si>
    <t>Stainless steel Pipe</t>
  </si>
  <si>
    <t>Wing base</t>
  </si>
  <si>
    <t>N25</t>
  </si>
  <si>
    <t>N26</t>
  </si>
  <si>
    <t>For Rachet</t>
  </si>
  <si>
    <t>N27</t>
  </si>
  <si>
    <t>For Motor FIX</t>
  </si>
  <si>
    <t>http://wilco.jp/products/U/UC.html</t>
  </si>
  <si>
    <t>N28</t>
  </si>
  <si>
    <t>For Servo FIX</t>
  </si>
  <si>
    <t>OD2mm L 6mm Bolt and Nut</t>
  </si>
  <si>
    <t>N29</t>
  </si>
  <si>
    <t>Gear</t>
  </si>
  <si>
    <t>Main</t>
  </si>
  <si>
    <t>N30</t>
  </si>
  <si>
    <t>N32</t>
  </si>
  <si>
    <t>N33</t>
  </si>
  <si>
    <t xml:space="preserve">The reinforcement in the back of the gear
</t>
  </si>
  <si>
    <t>1mm CarbonPlate</t>
  </si>
  <si>
    <t>N34</t>
  </si>
  <si>
    <t>First</t>
  </si>
  <si>
    <t>N35</t>
  </si>
  <si>
    <t>http://www.sdp-si.com/</t>
  </si>
  <si>
    <t>N51</t>
  </si>
  <si>
    <t>N38</t>
  </si>
  <si>
    <t>Pinion Gear</t>
  </si>
  <si>
    <t>N39</t>
  </si>
  <si>
    <t>Gear box</t>
  </si>
  <si>
    <t>Spacer</t>
  </si>
  <si>
    <t>http://wilco.jp/products/PE/CPE.html</t>
  </si>
  <si>
    <t>in Japan only</t>
  </si>
  <si>
    <t>N40</t>
  </si>
  <si>
    <t>Bolt &amp; Nut</t>
  </si>
  <si>
    <t>N42</t>
  </si>
  <si>
    <t>E-clip</t>
  </si>
  <si>
    <t>For fixation</t>
  </si>
  <si>
    <t>12m</t>
  </si>
  <si>
    <t>N43</t>
  </si>
  <si>
    <t>For wing hinge</t>
  </si>
  <si>
    <t>2m</t>
  </si>
  <si>
    <t>http://store.shopping.yahoo.co.jp/tokushu-sozai/index.html</t>
  </si>
  <si>
    <t>N44</t>
  </si>
  <si>
    <t>0.5Oz RipStop</t>
  </si>
  <si>
    <t>For wing film adhesion</t>
  </si>
  <si>
    <t>N45</t>
  </si>
  <si>
    <t xml:space="preserve">For wing </t>
  </si>
  <si>
    <t>Motor</t>
  </si>
  <si>
    <t>N49</t>
  </si>
  <si>
    <t>Battery</t>
  </si>
  <si>
    <t>Servo</t>
  </si>
  <si>
    <t>connector</t>
  </si>
  <si>
    <t>For electric apparatus</t>
  </si>
  <si>
    <t>Velcro Tape</t>
  </si>
  <si>
    <t>N52</t>
  </si>
  <si>
    <t>support of wing Rear</t>
  </si>
  <si>
    <t>center of wing rear</t>
  </si>
  <si>
    <t xml:space="preserve">1.5-1.6mmCarbon rod </t>
  </si>
  <si>
    <t>1.5-1.6mm</t>
  </si>
  <si>
    <t>80mm</t>
  </si>
  <si>
    <t>N53</t>
  </si>
  <si>
    <t>cable tie</t>
  </si>
  <si>
    <t xml:space="preserve">forfixation of  connection stick of Articulated wing </t>
  </si>
  <si>
    <t>N54</t>
  </si>
  <si>
    <t>Tool</t>
  </si>
  <si>
    <t>Drill</t>
  </si>
  <si>
    <t>1.5mm</t>
  </si>
  <si>
    <t>1.5mm and 2mm</t>
  </si>
  <si>
    <t>Packing of all parts</t>
  </si>
  <si>
    <t>SubTotal</t>
  </si>
  <si>
    <t>http://www.post.japanpost.jp/int/charge/list/ems_all_en.html)</t>
  </si>
  <si>
    <t>Total</t>
  </si>
  <si>
    <t>To</t>
  </si>
  <si>
    <t>From</t>
  </si>
  <si>
    <t>EMS postageYen</t>
    <phoneticPr fontId="6"/>
  </si>
  <si>
    <t>Total price USD</t>
    <phoneticPr fontId="6"/>
  </si>
  <si>
    <t>Postage(yen) of Items</t>
    <phoneticPr fontId="6"/>
  </si>
  <si>
    <t>N56</t>
    <phoneticPr fontId="6"/>
  </si>
  <si>
    <t>The hezagonal wrench</t>
    <phoneticPr fontId="6"/>
  </si>
  <si>
    <t>3M Super Seam Tape 9460 or 9672</t>
    <phoneticPr fontId="6"/>
  </si>
  <si>
    <t>Kevlar line OD0.5mm Or PE line No 2.5</t>
    <phoneticPr fontId="6"/>
  </si>
  <si>
    <t>Total price yen</t>
    <phoneticPr fontId="6"/>
  </si>
  <si>
    <t>2000yen /h</t>
    <phoneticPr fontId="6"/>
  </si>
  <si>
    <t>Painting</t>
    <phoneticPr fontId="6"/>
  </si>
  <si>
    <t>subtotal price yen</t>
    <phoneticPr fontId="6"/>
  </si>
  <si>
    <t>N55</t>
    <phoneticPr fontId="6"/>
  </si>
  <si>
    <t>NewGLDAB</t>
    <phoneticPr fontId="6"/>
  </si>
  <si>
    <t>For Gliding</t>
    <phoneticPr fontId="6"/>
  </si>
  <si>
    <t>EPP</t>
    <phoneticPr fontId="6"/>
  </si>
  <si>
    <t>Surface Body</t>
    <phoneticPr fontId="6"/>
  </si>
  <si>
    <t>2mm</t>
    <phoneticPr fontId="6"/>
  </si>
  <si>
    <t xml:space="preserve">add Postage(EMS)  </t>
    <phoneticPr fontId="6"/>
  </si>
  <si>
    <t xml:space="preserve">personnel expenses for making of  Parts (yen) </t>
    <phoneticPr fontId="6"/>
  </si>
  <si>
    <t xml:space="preserve">personnel expenses for assembly (other of  Parts making)   </t>
    <phoneticPr fontId="6"/>
  </si>
  <si>
    <t>N11-1</t>
    <phoneticPr fontId="6"/>
  </si>
  <si>
    <t>N05-3</t>
  </si>
  <si>
    <t>Base inforce</t>
    <phoneticPr fontId="6"/>
  </si>
  <si>
    <t>1.2mm</t>
    <phoneticPr fontId="6"/>
  </si>
  <si>
    <t>N09-3</t>
  </si>
  <si>
    <t>N08-1</t>
    <phoneticPr fontId="6"/>
  </si>
  <si>
    <t>N08-2</t>
  </si>
  <si>
    <t>1.7mm</t>
    <phoneticPr fontId="6"/>
  </si>
  <si>
    <t>1.4mm</t>
    <phoneticPr fontId="6"/>
  </si>
  <si>
    <t>N03-0</t>
    <phoneticPr fontId="6"/>
  </si>
  <si>
    <t>New GLDAB</t>
    <phoneticPr fontId="6"/>
  </si>
  <si>
    <t>Transmitter</t>
    <phoneticPr fontId="6"/>
  </si>
  <si>
    <t>N57</t>
    <phoneticPr fontId="6"/>
  </si>
  <si>
    <t>For Rearstopper of wing</t>
    <phoneticPr fontId="6"/>
  </si>
  <si>
    <t>Velcro Tape135</t>
    <phoneticPr fontId="6"/>
  </si>
  <si>
    <t xml:space="preserve">For rear digonal carbon rod hinge adjust </t>
    <phoneticPr fontId="6"/>
  </si>
  <si>
    <t>N49-2</t>
    <phoneticPr fontId="6"/>
  </si>
  <si>
    <t>Final Total price yen</t>
    <phoneticPr fontId="6"/>
  </si>
  <si>
    <t>JPY(Yen)</t>
    <phoneticPr fontId="6"/>
  </si>
  <si>
    <t>USD</t>
    <phoneticPr fontId="6"/>
  </si>
  <si>
    <t>1.6mm</t>
    <phoneticPr fontId="6"/>
  </si>
  <si>
    <t xml:space="preserve"> UP</t>
    <phoneticPr fontId="6"/>
  </si>
  <si>
    <t>Total</t>
    <phoneticPr fontId="6"/>
  </si>
  <si>
    <t>計</t>
    <rPh sb="0" eb="1">
      <t>ケイ</t>
    </rPh>
    <phoneticPr fontId="6"/>
  </si>
  <si>
    <t>Carbon　</t>
    <phoneticPr fontId="6"/>
  </si>
  <si>
    <t>1.6mm</t>
    <phoneticPr fontId="6"/>
  </si>
  <si>
    <t>OD3mm  L8mm Bolt and washer</t>
    <phoneticPr fontId="6"/>
  </si>
  <si>
    <t>80T48P acetal</t>
    <phoneticPr fontId="6"/>
  </si>
  <si>
    <t>32P6TPinionWire</t>
    <phoneticPr fontId="6"/>
  </si>
  <si>
    <t>70mm</t>
    <phoneticPr fontId="6"/>
  </si>
  <si>
    <t xml:space="preserve"> (1/4" x 1/2" x 3/16") Flange Metal Shielded Ball Bearing </t>
    <phoneticPr fontId="6"/>
  </si>
  <si>
    <t>For 6mm Shaft</t>
    <phoneticPr fontId="6"/>
  </si>
  <si>
    <t>XT60</t>
  </si>
  <si>
    <t>Lipo　3cell 1000mAh</t>
    <phoneticPr fontId="6"/>
  </si>
  <si>
    <t>N481</t>
    <phoneticPr fontId="6"/>
  </si>
  <si>
    <t>3cm*60cm</t>
    <phoneticPr fontId="6"/>
  </si>
  <si>
    <t>10m</t>
    <phoneticPr fontId="6"/>
  </si>
  <si>
    <t>OD3mm Bolt for Rachet sysytem</t>
    <phoneticPr fontId="6"/>
  </si>
  <si>
    <t xml:space="preserve">It is processed and the3 mm hole is open.
</t>
    <phoneticPr fontId="6"/>
  </si>
  <si>
    <t>48P14T Bore3mm</t>
    <phoneticPr fontId="6"/>
  </si>
  <si>
    <t>30cm</t>
    <phoneticPr fontId="6"/>
  </si>
  <si>
    <t>Tefron pipe</t>
    <phoneticPr fontId="6"/>
  </si>
  <si>
    <t>OD3mm Bolt Nut*2</t>
    <phoneticPr fontId="6"/>
  </si>
  <si>
    <t>Inside</t>
    <phoneticPr fontId="6"/>
  </si>
  <si>
    <t>Long Tail</t>
    <phoneticPr fontId="6"/>
  </si>
  <si>
    <t>Leg</t>
    <phoneticPr fontId="6"/>
  </si>
  <si>
    <t>1.8mm</t>
    <phoneticPr fontId="6"/>
  </si>
  <si>
    <t>Base diagonal</t>
    <phoneticPr fontId="6"/>
  </si>
  <si>
    <t>Tip 3</t>
    <phoneticPr fontId="6"/>
  </si>
  <si>
    <t>3.17mm BallBearing</t>
    <phoneticPr fontId="6"/>
  </si>
  <si>
    <t>3mm</t>
    <phoneticPr fontId="6"/>
  </si>
  <si>
    <t>1.6mm</t>
    <phoneticPr fontId="6"/>
  </si>
  <si>
    <t>2mm</t>
    <phoneticPr fontId="6"/>
  </si>
  <si>
    <t>Bank transfer</t>
    <phoneticPr fontId="6"/>
  </si>
  <si>
    <t>An account of PayPal</t>
    <phoneticPr fontId="6"/>
  </si>
  <si>
    <t xml:space="preserve">Marks Ltd.
　　　　　　　　　Kazuhiko Kakuta
  1-16-8 Chuo, Tagajyo, Miyagi, 985-0873, Japan
  TEL81-022-389-0722　FAX81-022-389-0723
   BZH07614@nifty.ne.jp
</t>
    <phoneticPr fontId="6"/>
  </si>
  <si>
    <t>BZH07614@nifty.ne.jp</t>
    <phoneticPr fontId="6"/>
  </si>
  <si>
    <t>RX</t>
    <phoneticPr fontId="6"/>
  </si>
  <si>
    <t>Development costs</t>
    <phoneticPr fontId="6"/>
  </si>
  <si>
    <t>１．２mm１．０mm1.5mm 2.0mm</t>
    <phoneticPr fontId="6"/>
  </si>
  <si>
    <t>5mm</t>
    <phoneticPr fontId="6"/>
  </si>
  <si>
    <t xml:space="preserve">Eagle149 240cm finished) with articulated wings Servo ESC Motor　RX </t>
    <phoneticPr fontId="6"/>
  </si>
  <si>
    <t>DYS D2822  2600KV Brushless Motor</t>
    <phoneticPr fontId="6"/>
  </si>
  <si>
    <t>Corona S-236MG</t>
    <phoneticPr fontId="6"/>
  </si>
  <si>
    <t xml:space="preserve">HTIRC Hornet Fixed Wing40A(2-4S) </t>
    <phoneticPr fontId="6"/>
  </si>
  <si>
    <t>https://www.aliexpress.com/item/32822927867.html?spm=a2g0o.order_list.order_list_main.151.4995585axx6Ch8</t>
    <phoneticPr fontId="6"/>
  </si>
  <si>
    <t>6kg/cm</t>
    <phoneticPr fontId="6"/>
  </si>
  <si>
    <t>4mm</t>
    <phoneticPr fontId="6"/>
  </si>
  <si>
    <t>Middle</t>
    <phoneticPr fontId="6"/>
  </si>
  <si>
    <t>Base outer1</t>
    <phoneticPr fontId="6"/>
  </si>
  <si>
    <t>Tip2</t>
    <phoneticPr fontId="6"/>
  </si>
  <si>
    <t>Tip 4</t>
    <phoneticPr fontId="6"/>
  </si>
  <si>
    <t>Tip 5</t>
    <phoneticPr fontId="6"/>
  </si>
  <si>
    <t>2.0mm</t>
    <phoneticPr fontId="6"/>
  </si>
  <si>
    <t>Low</t>
    <phoneticPr fontId="6"/>
  </si>
  <si>
    <t>Base</t>
    <phoneticPr fontId="6"/>
  </si>
  <si>
    <t>500mm plus bent part</t>
    <phoneticPr fontId="6"/>
  </si>
  <si>
    <t xml:space="preserve">Wing arm </t>
    <phoneticPr fontId="6"/>
  </si>
  <si>
    <t>Handmade</t>
    <phoneticPr fontId="6"/>
  </si>
  <si>
    <t>60T32P Acetal</t>
    <phoneticPr fontId="6"/>
  </si>
  <si>
    <t>150mm plus bent part</t>
    <phoneticPr fontId="6"/>
  </si>
  <si>
    <t xml:space="preserve"> Stainless shaft 1/4inch</t>
    <phoneticPr fontId="6"/>
  </si>
  <si>
    <t>Pinionwire</t>
    <phoneticPr fontId="6"/>
  </si>
  <si>
    <t>ID 3mm ODmm length 10mm Peek Spacer</t>
    <phoneticPr fontId="6"/>
  </si>
  <si>
    <t>OD3mm  Lmm Bolt and Nut for Gear box</t>
    <phoneticPr fontId="6"/>
  </si>
  <si>
    <t>PE line for Fishing No 3</t>
    <phoneticPr fontId="6"/>
  </si>
  <si>
    <t xml:space="preserve"> RipStop 0.75Oz
Mirai .75oz Ripstop Nylon</t>
    <phoneticPr fontId="6"/>
  </si>
  <si>
    <t>ESC</t>
    <phoneticPr fontId="6"/>
  </si>
  <si>
    <t>2.4Ghz</t>
    <phoneticPr fontId="6"/>
  </si>
  <si>
    <t>TX16S</t>
    <phoneticPr fontId="6"/>
  </si>
  <si>
    <t>ID5mm OD 6mm60mm -ID6mmOD7mm80mm - ID7mmOD9mm110mm</t>
    <phoneticPr fontId="6"/>
  </si>
  <si>
    <t>Lipo　3cell 1200mAh</t>
    <phoneticPr fontId="6"/>
  </si>
  <si>
    <t>Total price yen with fee10%</t>
    <phoneticPr fontId="6"/>
  </si>
  <si>
    <t>Lipo 18650 For Transmitter</t>
    <phoneticPr fontId="6"/>
  </si>
  <si>
    <t>https://www.amazon.co.jp/dp/B0FBLWMVY4/?coliid=I2HZY5BWC4KVA5&amp;colid=4S6HKFM2C7ZE&amp;psc=1&amp;ref_=list_c_wl_lv_ov_lig_dp_it</t>
    <phoneticPr fontId="6"/>
  </si>
  <si>
    <t xml:space="preserve">Fee of Paｙpal </t>
    <phoneticPr fontId="6"/>
  </si>
  <si>
    <t>円</t>
    <rPh sb="0" eb="1">
      <t>エン</t>
    </rPh>
    <phoneticPr fontId="6"/>
  </si>
  <si>
    <t>Feather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</si>
</sst>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_ "/>
    <numFmt numFmtId="178" formatCode="0.00_);[Red]\(0.00\)"/>
    <numFmt numFmtId="179" formatCode="0.0_);[Red]\(0.0\)"/>
    <numFmt numFmtId="180" formatCode="0.0_ "/>
  </numFmts>
  <fonts count="23" x14ac:knownFonts="1"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u/>
      <sz val="11"/>
      <color indexed="55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u/>
      <sz val="11"/>
      <color theme="1" tint="0.499984740745262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b/>
      <sz val="14"/>
      <color rgb="FF333333"/>
      <name val="Verdana"/>
      <family val="2"/>
    </font>
    <font>
      <sz val="11"/>
      <color theme="0" tint="-0.14999847407452621"/>
      <name val="ＭＳ Ｐゴシック"/>
      <family val="3"/>
      <charset val="128"/>
    </font>
    <font>
      <u/>
      <sz val="11"/>
      <color theme="0" tint="-0.14999847407452621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sz val="11"/>
      <color theme="3" tint="-0.24997711111789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1" applyBorder="1" applyAlignment="1" applyProtection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2" fillId="0" borderId="1" xfId="1" applyFill="1" applyBorder="1" applyAlignment="1" applyProtection="1">
      <alignment vertical="center" wrapText="1"/>
    </xf>
    <xf numFmtId="14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178" fontId="0" fillId="0" borderId="0" xfId="0" applyNumberFormat="1" applyAlignment="1">
      <alignment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1" applyAlignment="1" applyProtection="1">
      <alignment vertical="center" wrapText="1"/>
    </xf>
    <xf numFmtId="179" fontId="0" fillId="0" borderId="0" xfId="0" applyNumberFormat="1" applyAlignment="1">
      <alignment vertical="center" wrapText="1"/>
    </xf>
    <xf numFmtId="179" fontId="0" fillId="0" borderId="1" xfId="0" applyNumberFormat="1" applyBorder="1" applyAlignment="1">
      <alignment vertical="center" wrapText="1"/>
    </xf>
    <xf numFmtId="179" fontId="3" fillId="0" borderId="1" xfId="0" applyNumberFormat="1" applyFont="1" applyBorder="1" applyAlignment="1">
      <alignment vertical="center" wrapText="1"/>
    </xf>
    <xf numFmtId="179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9" fontId="0" fillId="0" borderId="2" xfId="0" applyNumberFormat="1" applyBorder="1" applyAlignment="1">
      <alignment vertical="center" wrapText="1"/>
    </xf>
    <xf numFmtId="178" fontId="0" fillId="0" borderId="2" xfId="0" applyNumberForma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179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8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9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177" fontId="7" fillId="0" borderId="1" xfId="0" applyNumberFormat="1" applyFont="1" applyBorder="1" applyAlignment="1">
      <alignment vertical="center" wrapText="1"/>
    </xf>
    <xf numFmtId="178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177" fontId="8" fillId="0" borderId="1" xfId="0" applyNumberFormat="1" applyFont="1" applyBorder="1" applyAlignment="1">
      <alignment vertical="center" wrapText="1"/>
    </xf>
    <xf numFmtId="178" fontId="8" fillId="0" borderId="1" xfId="0" applyNumberFormat="1" applyFont="1" applyBorder="1" applyAlignment="1">
      <alignment vertical="center" wrapText="1"/>
    </xf>
    <xf numFmtId="0" fontId="9" fillId="0" borderId="1" xfId="1" applyFont="1" applyBorder="1" applyAlignment="1" applyProtection="1">
      <alignment vertical="center" wrapText="1"/>
    </xf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79" fontId="11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177" fontId="11" fillId="0" borderId="1" xfId="0" applyNumberFormat="1" applyFont="1" applyBorder="1" applyAlignment="1">
      <alignment vertical="center" wrapText="1"/>
    </xf>
    <xf numFmtId="178" fontId="11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1" applyFont="1" applyAlignment="1" applyProtection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 wrapText="1"/>
    </xf>
    <xf numFmtId="177" fontId="13" fillId="0" borderId="1" xfId="0" applyNumberFormat="1" applyFont="1" applyBorder="1" applyAlignment="1">
      <alignment vertical="center" wrapText="1"/>
    </xf>
    <xf numFmtId="178" fontId="13" fillId="0" borderId="1" xfId="0" applyNumberFormat="1" applyFont="1" applyBorder="1" applyAlignment="1">
      <alignment vertical="center" wrapText="1"/>
    </xf>
    <xf numFmtId="179" fontId="13" fillId="0" borderId="1" xfId="0" applyNumberFormat="1" applyFont="1" applyBorder="1" applyAlignment="1">
      <alignment vertical="center" wrapText="1"/>
    </xf>
    <xf numFmtId="0" fontId="14" fillId="0" borderId="1" xfId="1" applyFont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5" fillId="0" borderId="1" xfId="1" applyFont="1" applyBorder="1" applyAlignment="1" applyProtection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76" fontId="16" fillId="0" borderId="1" xfId="0" applyNumberFormat="1" applyFont="1" applyBorder="1" applyAlignment="1">
      <alignment vertical="center" wrapText="1"/>
    </xf>
    <xf numFmtId="177" fontId="16" fillId="0" borderId="1" xfId="0" applyNumberFormat="1" applyFont="1" applyBorder="1" applyAlignment="1">
      <alignment vertical="center" wrapText="1"/>
    </xf>
    <xf numFmtId="178" fontId="16" fillId="0" borderId="1" xfId="0" applyNumberFormat="1" applyFont="1" applyBorder="1" applyAlignment="1">
      <alignment vertical="center" wrapText="1"/>
    </xf>
    <xf numFmtId="179" fontId="16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180" fontId="0" fillId="0" borderId="0" xfId="0" applyNumberForma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177" fontId="17" fillId="0" borderId="1" xfId="0" applyNumberFormat="1" applyFont="1" applyBorder="1" applyAlignment="1">
      <alignment vertical="center" wrapText="1"/>
    </xf>
    <xf numFmtId="178" fontId="17" fillId="0" borderId="1" xfId="0" applyNumberFormat="1" applyFont="1" applyBorder="1" applyAlignment="1">
      <alignment vertical="center" wrapText="1"/>
    </xf>
    <xf numFmtId="179" fontId="17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76" fontId="0" fillId="0" borderId="1" xfId="0" applyNumberFormat="1" applyBorder="1" applyAlignment="1">
      <alignment horizontal="right" vertical="center" wrapText="1"/>
    </xf>
    <xf numFmtId="176" fontId="12" fillId="2" borderId="1" xfId="0" applyNumberFormat="1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9" fillId="0" borderId="1" xfId="0" applyFont="1" applyBorder="1" applyAlignment="1">
      <alignment vertical="center" wrapText="1"/>
    </xf>
    <xf numFmtId="176" fontId="19" fillId="0" borderId="1" xfId="0" applyNumberFormat="1" applyFont="1" applyBorder="1" applyAlignment="1">
      <alignment vertical="center" wrapText="1"/>
    </xf>
    <xf numFmtId="177" fontId="19" fillId="0" borderId="1" xfId="0" applyNumberFormat="1" applyFont="1" applyBorder="1" applyAlignment="1">
      <alignment vertical="center" wrapText="1"/>
    </xf>
    <xf numFmtId="178" fontId="19" fillId="0" borderId="1" xfId="0" applyNumberFormat="1" applyFont="1" applyBorder="1" applyAlignment="1">
      <alignment vertical="center" wrapText="1"/>
    </xf>
    <xf numFmtId="179" fontId="19" fillId="0" borderId="1" xfId="0" applyNumberFormat="1" applyFont="1" applyBorder="1" applyAlignment="1">
      <alignment vertical="center" wrapText="1"/>
    </xf>
    <xf numFmtId="0" fontId="20" fillId="0" borderId="1" xfId="1" applyFont="1" applyBorder="1" applyAlignment="1" applyProtection="1">
      <alignment vertical="center" wrapText="1"/>
    </xf>
    <xf numFmtId="0" fontId="19" fillId="0" borderId="0" xfId="0" applyFont="1" applyAlignment="1">
      <alignment vertical="center" wrapText="1"/>
    </xf>
    <xf numFmtId="179" fontId="0" fillId="0" borderId="3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12" fillId="2" borderId="3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4" fontId="12" fillId="0" borderId="1" xfId="0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176" fontId="12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vertical="center" wrapText="1"/>
    </xf>
    <xf numFmtId="178" fontId="12" fillId="0" borderId="1" xfId="0" applyNumberFormat="1" applyFont="1" applyBorder="1" applyAlignment="1">
      <alignment vertical="center" wrapText="1"/>
    </xf>
    <xf numFmtId="179" fontId="1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4" fontId="21" fillId="0" borderId="1" xfId="0" applyNumberFormat="1" applyFont="1" applyBorder="1" applyAlignment="1">
      <alignment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176" fontId="21" fillId="0" borderId="1" xfId="0" applyNumberFormat="1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179" fontId="2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14" fontId="22" fillId="2" borderId="1" xfId="0" applyNumberFormat="1" applyFont="1" applyFill="1" applyBorder="1" applyAlignment="1">
      <alignment vertical="center" wrapText="1"/>
    </xf>
    <xf numFmtId="176" fontId="22" fillId="2" borderId="1" xfId="0" applyNumberFormat="1" applyFont="1" applyFill="1" applyBorder="1" applyAlignment="1">
      <alignment horizontal="right" vertical="center" wrapText="1"/>
    </xf>
    <xf numFmtId="176" fontId="22" fillId="2" borderId="1" xfId="0" applyNumberFormat="1" applyFont="1" applyFill="1" applyBorder="1" applyAlignment="1">
      <alignment vertical="center" wrapText="1"/>
    </xf>
    <xf numFmtId="176" fontId="1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.jp/dp/B0FBLWMVY4/?coliid=I2HZY5BWC4KVA5&amp;colid=4S6HKFM2C7ZE&amp;psc=1&amp;ref_=list_c_wl_lv_ov_lig_dp_it" TargetMode="External"/><Relationship Id="rId3" Type="http://schemas.openxmlformats.org/officeDocument/2006/relationships/hyperlink" Target="http://wilco.jp/products/U/UC.html" TargetMode="External"/><Relationship Id="rId7" Type="http://schemas.openxmlformats.org/officeDocument/2006/relationships/hyperlink" Target="https://www.aliexpress.com/item/32822927867.html?spm=a2g0o.order_list.order_list_main.151.4995585axx6Ch8" TargetMode="External"/><Relationship Id="rId2" Type="http://schemas.openxmlformats.org/officeDocument/2006/relationships/hyperlink" Target="http://wilco.jp/products/PE/CPE.html" TargetMode="External"/><Relationship Id="rId1" Type="http://schemas.openxmlformats.org/officeDocument/2006/relationships/hyperlink" Target="http://www.sdp-si.com/" TargetMode="External"/><Relationship Id="rId6" Type="http://schemas.openxmlformats.org/officeDocument/2006/relationships/hyperlink" Target="mailto:BZH07614@nifty.ne.jp" TargetMode="External"/><Relationship Id="rId5" Type="http://schemas.openxmlformats.org/officeDocument/2006/relationships/hyperlink" Target="http://www.post.japanpost.jp/int/charge/list/ems_all_en.html)" TargetMode="External"/><Relationship Id="rId4" Type="http://schemas.openxmlformats.org/officeDocument/2006/relationships/hyperlink" Target="http://store.shopping.yahoo.co.jp/tokushu-sozai/index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2"/>
  <sheetViews>
    <sheetView tabSelected="1" zoomScale="75" zoomScaleNormal="75" workbookViewId="0">
      <pane xSplit="6" ySplit="2" topLeftCell="G108" activePane="bottomRight" state="frozen"/>
      <selection pane="topRight"/>
      <selection pane="bottomLeft"/>
      <selection pane="bottomRight" activeCell="L128" sqref="L128"/>
    </sheetView>
  </sheetViews>
  <sheetFormatPr defaultRowHeight="13.5" x14ac:dyDescent="0.15"/>
  <cols>
    <col min="1" max="1" width="6.125" style="1" customWidth="1"/>
    <col min="2" max="2" width="13.625" style="1" customWidth="1"/>
    <col min="3" max="3" width="12" style="1" customWidth="1"/>
    <col min="4" max="4" width="17.25" style="1" customWidth="1"/>
    <col min="5" max="5" width="10.875" style="1" customWidth="1"/>
    <col min="6" max="6" width="15.75" style="1" customWidth="1"/>
    <col min="7" max="7" width="9.25" style="100" customWidth="1"/>
    <col min="8" max="9" width="6.5" style="15" customWidth="1"/>
    <col min="10" max="10" width="8.875" style="1" customWidth="1"/>
    <col min="11" max="11" width="13.25" style="17" customWidth="1"/>
    <col min="12" max="12" width="11.25" style="17" customWidth="1"/>
    <col min="13" max="13" width="8.375" style="21" customWidth="1"/>
    <col min="14" max="14" width="13.5" style="1" customWidth="1"/>
    <col min="15" max="15" width="9" style="1" bestFit="1"/>
    <col min="16" max="16384" width="9" style="1"/>
  </cols>
  <sheetData>
    <row r="1" spans="1:15" ht="40.5" x14ac:dyDescent="0.15">
      <c r="A1" s="18" t="s">
        <v>201</v>
      </c>
      <c r="N1" s="1" t="s">
        <v>0</v>
      </c>
      <c r="O1" s="24" t="s">
        <v>1</v>
      </c>
    </row>
    <row r="2" spans="1:15" ht="81" x14ac:dyDescent="0.15">
      <c r="A2" s="2" t="s">
        <v>2</v>
      </c>
      <c r="B2" s="9"/>
      <c r="C2" s="9">
        <v>46156</v>
      </c>
      <c r="D2" s="2"/>
      <c r="E2" s="2" t="s">
        <v>3</v>
      </c>
      <c r="F2" s="2" t="s">
        <v>4</v>
      </c>
      <c r="G2" s="72" t="s">
        <v>5</v>
      </c>
      <c r="H2" s="6" t="s">
        <v>6</v>
      </c>
      <c r="I2" s="6" t="s">
        <v>7</v>
      </c>
      <c r="J2" s="2" t="s">
        <v>8</v>
      </c>
      <c r="K2" s="16" t="s">
        <v>9</v>
      </c>
      <c r="L2" s="16" t="s">
        <v>122</v>
      </c>
      <c r="M2" s="24" t="s">
        <v>138</v>
      </c>
      <c r="N2" s="2">
        <v>160</v>
      </c>
      <c r="O2" s="1">
        <v>2000</v>
      </c>
    </row>
    <row r="3" spans="1:15" x14ac:dyDescent="0.15">
      <c r="A3" s="2"/>
      <c r="B3" s="9"/>
      <c r="C3" s="9"/>
      <c r="D3" s="2"/>
      <c r="E3" s="2"/>
      <c r="F3" s="2"/>
      <c r="G3" s="72"/>
      <c r="H3" s="22"/>
      <c r="I3" s="6"/>
      <c r="J3" s="2"/>
      <c r="K3" s="16"/>
      <c r="L3" s="16"/>
      <c r="M3" s="24"/>
      <c r="N3" s="2"/>
    </row>
    <row r="4" spans="1:15" x14ac:dyDescent="0.15">
      <c r="A4" s="2"/>
      <c r="B4" s="9"/>
      <c r="C4" s="9"/>
      <c r="D4" s="2"/>
      <c r="E4" s="2"/>
      <c r="F4" s="2"/>
      <c r="G4" s="72"/>
      <c r="H4" s="22"/>
      <c r="I4" s="6"/>
      <c r="J4" s="2"/>
      <c r="K4" s="16"/>
      <c r="L4" s="16"/>
      <c r="M4" s="24"/>
      <c r="N4" s="2"/>
    </row>
    <row r="5" spans="1:15" ht="14.25" customHeight="1" x14ac:dyDescent="0.15">
      <c r="A5" s="2"/>
      <c r="B5" s="9"/>
      <c r="C5" s="9"/>
      <c r="D5" s="2"/>
      <c r="E5" s="2"/>
      <c r="F5" s="2"/>
      <c r="G5" s="72"/>
      <c r="H5" s="22"/>
      <c r="I5" s="6"/>
      <c r="J5" s="2"/>
      <c r="K5" s="16"/>
      <c r="L5" s="16"/>
      <c r="M5" s="24"/>
      <c r="N5" s="2"/>
    </row>
    <row r="6" spans="1:15" x14ac:dyDescent="0.15">
      <c r="A6" s="2"/>
      <c r="B6" s="9"/>
      <c r="C6" s="9"/>
      <c r="D6" s="2"/>
      <c r="E6" s="2"/>
      <c r="F6" s="2"/>
      <c r="G6" s="72"/>
      <c r="H6" s="22"/>
      <c r="I6" s="6"/>
      <c r="J6" s="2"/>
      <c r="K6" s="16"/>
      <c r="L6" s="16"/>
      <c r="M6" s="24"/>
      <c r="N6" s="2"/>
    </row>
    <row r="7" spans="1:15" x14ac:dyDescent="0.15">
      <c r="A7" s="2"/>
      <c r="B7" s="9"/>
      <c r="C7" s="9"/>
      <c r="D7" s="2"/>
      <c r="E7" s="2"/>
      <c r="F7" s="2"/>
      <c r="G7" s="72"/>
      <c r="H7" s="22"/>
      <c r="I7" s="6"/>
      <c r="J7" s="2">
        <f>G7*H7</f>
        <v>0</v>
      </c>
      <c r="K7" s="16"/>
      <c r="L7" s="16"/>
      <c r="M7" s="24"/>
    </row>
    <row r="8" spans="1:15" x14ac:dyDescent="0.15">
      <c r="A8" s="2" t="s">
        <v>10</v>
      </c>
      <c r="B8" s="2" t="s">
        <v>11</v>
      </c>
      <c r="C8" s="2" t="s">
        <v>12</v>
      </c>
      <c r="D8" s="2" t="s">
        <v>13</v>
      </c>
      <c r="E8" s="2" t="s">
        <v>165</v>
      </c>
      <c r="F8" s="61">
        <v>200</v>
      </c>
      <c r="G8" s="72">
        <f>574/1000*F8</f>
        <v>114.8</v>
      </c>
      <c r="H8" s="6">
        <v>2</v>
      </c>
      <c r="I8" s="6"/>
      <c r="J8" s="10">
        <f t="shared" ref="J8:J9" si="0">G8*(H8+I8)</f>
        <v>229.6</v>
      </c>
      <c r="K8" s="16">
        <f t="shared" ref="K8:K9" si="1">J8/$N$2</f>
        <v>1.4350000000000001</v>
      </c>
      <c r="L8" s="16">
        <v>11</v>
      </c>
      <c r="M8" s="22">
        <v>333.3</v>
      </c>
    </row>
    <row r="9" spans="1:15" x14ac:dyDescent="0.15">
      <c r="A9" s="2" t="s">
        <v>144</v>
      </c>
      <c r="B9" s="2"/>
      <c r="C9" s="2"/>
      <c r="D9" s="2" t="s">
        <v>183</v>
      </c>
      <c r="E9" s="2" t="s">
        <v>14</v>
      </c>
      <c r="F9" s="61">
        <v>200</v>
      </c>
      <c r="G9" s="72">
        <f>533/1000*F9</f>
        <v>106.60000000000001</v>
      </c>
      <c r="H9" s="6">
        <v>2</v>
      </c>
      <c r="I9" s="6"/>
      <c r="J9" s="10">
        <f t="shared" si="0"/>
        <v>213.20000000000002</v>
      </c>
      <c r="K9" s="16">
        <f t="shared" si="1"/>
        <v>1.3325</v>
      </c>
      <c r="L9" s="16">
        <v>11</v>
      </c>
      <c r="M9" s="22">
        <f t="shared" ref="M9:M10" si="2">$O$2*5/60*2</f>
        <v>333.33333333333331</v>
      </c>
      <c r="N9" s="2"/>
    </row>
    <row r="10" spans="1:15" x14ac:dyDescent="0.15">
      <c r="A10" s="2" t="s">
        <v>144</v>
      </c>
      <c r="B10" s="2"/>
      <c r="C10" s="2"/>
      <c r="D10" s="2" t="s">
        <v>183</v>
      </c>
      <c r="E10" s="2" t="s">
        <v>14</v>
      </c>
      <c r="F10" s="61">
        <v>195</v>
      </c>
      <c r="G10" s="72">
        <f>533/1000*F10</f>
        <v>103.935</v>
      </c>
      <c r="H10" s="6">
        <v>2</v>
      </c>
      <c r="I10" s="6"/>
      <c r="J10" s="10">
        <f t="shared" ref="J10" si="3">G10*(H10+I10)</f>
        <v>207.87</v>
      </c>
      <c r="K10" s="16">
        <f t="shared" ref="K10" si="4">J10/$N$2</f>
        <v>1.2991874999999999</v>
      </c>
      <c r="L10" s="16">
        <v>11</v>
      </c>
      <c r="M10" s="22">
        <f t="shared" si="2"/>
        <v>333.33333333333331</v>
      </c>
      <c r="N10" s="2"/>
    </row>
    <row r="11" spans="1:15" x14ac:dyDescent="0.15">
      <c r="A11" s="2" t="s">
        <v>15</v>
      </c>
      <c r="B11" s="2"/>
      <c r="C11" s="2"/>
      <c r="D11" s="2" t="s">
        <v>16</v>
      </c>
      <c r="E11" s="2" t="s">
        <v>165</v>
      </c>
      <c r="F11" s="2">
        <v>235</v>
      </c>
      <c r="G11" s="72">
        <f t="shared" ref="G11:G15" si="5">574/1000*F11</f>
        <v>134.88999999999999</v>
      </c>
      <c r="H11" s="6">
        <v>2</v>
      </c>
      <c r="I11" s="6"/>
      <c r="J11" s="10">
        <f t="shared" ref="J11:J48" si="6">G11*(H11+I11)</f>
        <v>269.77999999999997</v>
      </c>
      <c r="K11" s="16">
        <f t="shared" ref="K11:K47" si="7">J11/$N$2</f>
        <v>1.6861249999999999</v>
      </c>
      <c r="L11" s="16">
        <v>11</v>
      </c>
      <c r="M11" s="22">
        <f>O2*5/60*2</f>
        <v>333.33333333333331</v>
      </c>
      <c r="N11" s="2"/>
    </row>
    <row r="12" spans="1:15" x14ac:dyDescent="0.15">
      <c r="A12" s="2" t="s">
        <v>145</v>
      </c>
      <c r="B12" s="2"/>
      <c r="C12" s="2" t="s">
        <v>184</v>
      </c>
      <c r="D12" s="2"/>
      <c r="E12" s="2" t="s">
        <v>136</v>
      </c>
      <c r="F12" s="2">
        <v>1000</v>
      </c>
      <c r="G12" s="72">
        <f>420/700*F12</f>
        <v>600</v>
      </c>
      <c r="H12" s="6">
        <v>1</v>
      </c>
      <c r="I12" s="6"/>
      <c r="J12" s="10">
        <f t="shared" ref="J12" si="8">G12*(H12+I12)</f>
        <v>600</v>
      </c>
      <c r="K12" s="16">
        <f t="shared" ref="K12" si="9">J12/$N$2</f>
        <v>3.75</v>
      </c>
      <c r="L12" s="16">
        <v>11</v>
      </c>
      <c r="M12" s="22">
        <f>O2*5/60*2</f>
        <v>333.33333333333331</v>
      </c>
      <c r="N12" s="2"/>
    </row>
    <row r="13" spans="1:15" s="85" customFormat="1" x14ac:dyDescent="0.15">
      <c r="A13" s="80" t="s">
        <v>149</v>
      </c>
      <c r="B13" s="80"/>
      <c r="C13" s="80"/>
      <c r="D13" s="2"/>
      <c r="E13" s="80" t="s">
        <v>148</v>
      </c>
      <c r="F13" s="80">
        <v>83</v>
      </c>
      <c r="G13" s="101">
        <f>280/700*F13</f>
        <v>33.200000000000003</v>
      </c>
      <c r="H13" s="81">
        <v>0</v>
      </c>
      <c r="I13" s="81"/>
      <c r="J13" s="82">
        <f t="shared" si="6"/>
        <v>0</v>
      </c>
      <c r="K13" s="83">
        <f t="shared" si="7"/>
        <v>0</v>
      </c>
      <c r="L13" s="83"/>
      <c r="M13" s="84"/>
      <c r="N13" s="80"/>
    </row>
    <row r="14" spans="1:15" s="95" customFormat="1" x14ac:dyDescent="0.15">
      <c r="A14" s="89" t="s">
        <v>140</v>
      </c>
      <c r="B14" s="89"/>
      <c r="C14" s="89" t="s">
        <v>185</v>
      </c>
      <c r="D14" s="89">
        <v>1</v>
      </c>
      <c r="E14" s="89" t="s">
        <v>186</v>
      </c>
      <c r="F14" s="89">
        <v>170</v>
      </c>
      <c r="G14" s="105">
        <f>420/700*F14</f>
        <v>102</v>
      </c>
      <c r="H14" s="90">
        <v>2</v>
      </c>
      <c r="I14" s="90"/>
      <c r="J14" s="91">
        <f t="shared" si="6"/>
        <v>204</v>
      </c>
      <c r="K14" s="92">
        <f t="shared" si="7"/>
        <v>1.2749999999999999</v>
      </c>
      <c r="L14" s="92">
        <v>11</v>
      </c>
      <c r="M14" s="93">
        <f t="shared" ref="M14" si="10">$O$2*5/60*2</f>
        <v>333.33333333333331</v>
      </c>
      <c r="N14" s="89"/>
    </row>
    <row r="15" spans="1:15" s="95" customFormat="1" x14ac:dyDescent="0.15">
      <c r="A15" s="89" t="s">
        <v>17</v>
      </c>
      <c r="B15" s="89"/>
      <c r="C15" s="89" t="s">
        <v>185</v>
      </c>
      <c r="D15" s="89">
        <v>2</v>
      </c>
      <c r="E15" s="89" t="s">
        <v>165</v>
      </c>
      <c r="F15" s="89">
        <v>160</v>
      </c>
      <c r="G15" s="105">
        <f t="shared" si="5"/>
        <v>91.839999999999989</v>
      </c>
      <c r="H15" s="90">
        <v>2</v>
      </c>
      <c r="I15" s="90"/>
      <c r="J15" s="91">
        <f t="shared" ref="J15:J16" si="11">G15*(H15+I15)</f>
        <v>183.67999999999998</v>
      </c>
      <c r="K15" s="92">
        <f t="shared" ref="K15:K16" si="12">J15/$N$2</f>
        <v>1.1479999999999999</v>
      </c>
      <c r="L15" s="92">
        <v>11</v>
      </c>
      <c r="M15" s="93">
        <f>$O$2*5/60*2</f>
        <v>333.33333333333331</v>
      </c>
      <c r="N15" s="89"/>
    </row>
    <row r="16" spans="1:15" s="95" customFormat="1" x14ac:dyDescent="0.15">
      <c r="A16" s="89" t="s">
        <v>144</v>
      </c>
      <c r="B16" s="89"/>
      <c r="C16" s="89" t="s">
        <v>185</v>
      </c>
      <c r="D16" s="89">
        <v>3</v>
      </c>
      <c r="E16" s="89" t="s">
        <v>14</v>
      </c>
      <c r="F16" s="89">
        <v>160</v>
      </c>
      <c r="G16" s="105">
        <f>533/1000*F16</f>
        <v>85.28</v>
      </c>
      <c r="H16" s="90">
        <v>2</v>
      </c>
      <c r="I16" s="90"/>
      <c r="J16" s="91">
        <f t="shared" si="11"/>
        <v>170.56</v>
      </c>
      <c r="K16" s="92">
        <f t="shared" si="12"/>
        <v>1.0660000000000001</v>
      </c>
      <c r="L16" s="92">
        <v>11</v>
      </c>
      <c r="M16" s="93">
        <f t="shared" ref="M16:M17" si="13">$O$2*5/60*2</f>
        <v>333.33333333333331</v>
      </c>
      <c r="N16" s="89"/>
    </row>
    <row r="17" spans="1:14" s="95" customFormat="1" x14ac:dyDescent="0.15">
      <c r="A17" s="89" t="s">
        <v>144</v>
      </c>
      <c r="B17" s="89"/>
      <c r="C17" s="89" t="s">
        <v>185</v>
      </c>
      <c r="D17" s="89">
        <v>4</v>
      </c>
      <c r="E17" s="89" t="s">
        <v>14</v>
      </c>
      <c r="F17" s="89">
        <v>50</v>
      </c>
      <c r="G17" s="105">
        <f>533/1000*F17</f>
        <v>26.650000000000002</v>
      </c>
      <c r="H17" s="90">
        <v>2</v>
      </c>
      <c r="I17" s="90"/>
      <c r="J17" s="91">
        <f t="shared" ref="J17" si="14">G17*(H17+I17)</f>
        <v>53.300000000000004</v>
      </c>
      <c r="K17" s="92">
        <f t="shared" ref="K17" si="15">J17/$N$2</f>
        <v>0.333125</v>
      </c>
      <c r="L17" s="92">
        <v>11</v>
      </c>
      <c r="M17" s="93">
        <f t="shared" si="13"/>
        <v>333.33333333333331</v>
      </c>
      <c r="N17" s="89"/>
    </row>
    <row r="18" spans="1:14" s="95" customFormat="1" x14ac:dyDescent="0.15">
      <c r="A18" s="89" t="s">
        <v>144</v>
      </c>
      <c r="B18" s="89"/>
      <c r="C18" s="89" t="s">
        <v>185</v>
      </c>
      <c r="D18" s="89">
        <v>5</v>
      </c>
      <c r="E18" s="89" t="s">
        <v>14</v>
      </c>
      <c r="F18" s="89">
        <v>65</v>
      </c>
      <c r="G18" s="105">
        <f>533/1000*F18</f>
        <v>34.645000000000003</v>
      </c>
      <c r="H18" s="90">
        <v>2</v>
      </c>
      <c r="I18" s="90"/>
      <c r="J18" s="91">
        <f t="shared" ref="J18" si="16">G18*(H18+I18)</f>
        <v>69.290000000000006</v>
      </c>
      <c r="K18" s="92">
        <f t="shared" ref="K18" si="17">J18/$N$2</f>
        <v>0.43306250000000002</v>
      </c>
      <c r="L18" s="92">
        <v>11</v>
      </c>
      <c r="M18" s="93">
        <f>$O$2*5/60*2</f>
        <v>333.33333333333331</v>
      </c>
      <c r="N18" s="89"/>
    </row>
    <row r="19" spans="1:14" s="85" customFormat="1" x14ac:dyDescent="0.15">
      <c r="A19" s="80" t="s">
        <v>141</v>
      </c>
      <c r="B19" s="80"/>
      <c r="C19" s="80"/>
      <c r="D19" s="80" t="s">
        <v>142</v>
      </c>
      <c r="E19" s="80" t="s">
        <v>143</v>
      </c>
      <c r="F19" s="80">
        <v>49</v>
      </c>
      <c r="G19" s="101">
        <f>2310/10/700*F19</f>
        <v>16.170000000000002</v>
      </c>
      <c r="H19" s="81">
        <v>0</v>
      </c>
      <c r="I19" s="81"/>
      <c r="J19" s="82">
        <f t="shared" si="6"/>
        <v>0</v>
      </c>
      <c r="K19" s="83">
        <f t="shared" si="7"/>
        <v>0</v>
      </c>
      <c r="L19" s="83">
        <v>0</v>
      </c>
      <c r="M19" s="84">
        <v>0</v>
      </c>
      <c r="N19" s="80"/>
    </row>
    <row r="20" spans="1:14" x14ac:dyDescent="0.15">
      <c r="A20" s="2" t="s">
        <v>19</v>
      </c>
      <c r="B20" s="2"/>
      <c r="C20" s="2" t="s">
        <v>20</v>
      </c>
      <c r="D20" s="2" t="s">
        <v>21</v>
      </c>
      <c r="E20" s="53" t="s">
        <v>200</v>
      </c>
      <c r="F20" s="53">
        <v>560</v>
      </c>
      <c r="G20" s="72">
        <f>1490/1000*F20</f>
        <v>834.4</v>
      </c>
      <c r="H20" s="6">
        <v>2</v>
      </c>
      <c r="I20" s="6"/>
      <c r="J20" s="10">
        <f>G20*(H20+I20)</f>
        <v>1668.8</v>
      </c>
      <c r="K20" s="16">
        <f t="shared" si="7"/>
        <v>10.43</v>
      </c>
      <c r="L20" s="16">
        <v>11</v>
      </c>
      <c r="M20" s="22">
        <f>O2*5/60*2</f>
        <v>333.33333333333331</v>
      </c>
      <c r="N20" s="2"/>
    </row>
    <row r="21" spans="1:14" x14ac:dyDescent="0.15">
      <c r="A21" s="2" t="s">
        <v>145</v>
      </c>
      <c r="B21" s="2"/>
      <c r="C21" s="2"/>
      <c r="D21" s="2" t="s">
        <v>187</v>
      </c>
      <c r="E21" s="53" t="s">
        <v>190</v>
      </c>
      <c r="F21" s="53">
        <v>605</v>
      </c>
      <c r="G21" s="72">
        <f>740/1000*F21</f>
        <v>447.7</v>
      </c>
      <c r="H21" s="6">
        <v>2</v>
      </c>
      <c r="I21" s="6"/>
      <c r="J21" s="10">
        <f t="shared" ref="J21:J22" si="18">G21*(H21+I21)</f>
        <v>895.4</v>
      </c>
      <c r="K21" s="16">
        <f t="shared" si="7"/>
        <v>5.5962499999999995</v>
      </c>
      <c r="L21" s="16">
        <v>11</v>
      </c>
      <c r="M21" s="22">
        <f>$O$2*5/60*2</f>
        <v>333.33333333333331</v>
      </c>
      <c r="N21" s="2"/>
    </row>
    <row r="22" spans="1:14" x14ac:dyDescent="0.15">
      <c r="A22" s="2" t="s">
        <v>22</v>
      </c>
      <c r="B22" s="2"/>
      <c r="C22" s="2"/>
      <c r="D22" s="2" t="s">
        <v>23</v>
      </c>
      <c r="E22" s="53" t="s">
        <v>207</v>
      </c>
      <c r="F22" s="53">
        <v>460</v>
      </c>
      <c r="G22" s="72">
        <f>1070/1000*F22</f>
        <v>492.20000000000005</v>
      </c>
      <c r="H22" s="6">
        <v>2</v>
      </c>
      <c r="I22" s="6"/>
      <c r="J22" s="10">
        <f t="shared" si="18"/>
        <v>984.40000000000009</v>
      </c>
      <c r="K22" s="16">
        <f t="shared" si="7"/>
        <v>6.1525000000000007</v>
      </c>
      <c r="L22" s="16">
        <v>11</v>
      </c>
      <c r="M22" s="22">
        <f>O2*5/60*2</f>
        <v>333.33333333333331</v>
      </c>
      <c r="N22" s="2"/>
    </row>
    <row r="23" spans="1:14" ht="10.5" customHeight="1" x14ac:dyDescent="0.15">
      <c r="A23" s="2" t="s">
        <v>144</v>
      </c>
      <c r="B23" s="2"/>
      <c r="C23" s="2"/>
      <c r="D23" s="2" t="s">
        <v>208</v>
      </c>
      <c r="E23" s="53" t="s">
        <v>190</v>
      </c>
      <c r="F23" s="53">
        <v>375</v>
      </c>
      <c r="G23" s="72">
        <f>740/1000*F23</f>
        <v>277.5</v>
      </c>
      <c r="H23" s="6">
        <v>2</v>
      </c>
      <c r="I23" s="6"/>
      <c r="J23" s="10">
        <f t="shared" ref="J23" si="19">G23*(H23+I23)</f>
        <v>555</v>
      </c>
      <c r="K23" s="16">
        <f t="shared" ref="K23" si="20">J23/$N$2</f>
        <v>3.46875</v>
      </c>
      <c r="L23" s="16">
        <v>11</v>
      </c>
      <c r="M23" s="22">
        <f t="shared" ref="M23" si="21">$O$2*5/60*2</f>
        <v>333.33333333333331</v>
      </c>
      <c r="N23" s="2"/>
    </row>
    <row r="24" spans="1:14" x14ac:dyDescent="0.15">
      <c r="A24" s="2" t="s">
        <v>145</v>
      </c>
      <c r="B24" s="2"/>
      <c r="C24" s="2"/>
      <c r="D24" s="2" t="s">
        <v>209</v>
      </c>
      <c r="E24" s="2" t="s">
        <v>160</v>
      </c>
      <c r="F24" s="2">
        <v>550</v>
      </c>
      <c r="G24" s="72">
        <f>580/1000*F24</f>
        <v>319</v>
      </c>
      <c r="H24" s="6">
        <v>2</v>
      </c>
      <c r="I24" s="6"/>
      <c r="J24" s="10">
        <f t="shared" si="6"/>
        <v>638</v>
      </c>
      <c r="K24" s="16">
        <f t="shared" si="7"/>
        <v>3.9874999999999998</v>
      </c>
      <c r="L24" s="16">
        <v>11</v>
      </c>
      <c r="M24" s="22">
        <f>O2*5/60*2</f>
        <v>333.33333333333331</v>
      </c>
      <c r="N24" s="2"/>
    </row>
    <row r="25" spans="1:14" x14ac:dyDescent="0.15">
      <c r="A25" s="2" t="s">
        <v>144</v>
      </c>
      <c r="B25" s="2"/>
      <c r="C25" s="2"/>
      <c r="D25" s="2" t="s">
        <v>210</v>
      </c>
      <c r="E25" s="2" t="s">
        <v>160</v>
      </c>
      <c r="F25" s="2">
        <v>610</v>
      </c>
      <c r="G25" s="72">
        <f>580/1000*F25</f>
        <v>353.79999999999995</v>
      </c>
      <c r="H25" s="6">
        <v>2</v>
      </c>
      <c r="I25" s="6"/>
      <c r="J25" s="10">
        <f t="shared" ref="J25:J29" si="22">G25*(H25+I25)</f>
        <v>707.59999999999991</v>
      </c>
      <c r="K25" s="16">
        <f t="shared" ref="K25:K29" si="23">J25/$N$2</f>
        <v>4.4224999999999994</v>
      </c>
      <c r="L25" s="16">
        <v>11</v>
      </c>
      <c r="M25" s="22">
        <f t="shared" ref="M25:M28" si="24">$O$2*5/60*2</f>
        <v>333.33333333333331</v>
      </c>
      <c r="N25" s="2"/>
    </row>
    <row r="26" spans="1:14" x14ac:dyDescent="0.15">
      <c r="A26" s="2" t="s">
        <v>146</v>
      </c>
      <c r="B26" s="2"/>
      <c r="C26" s="2"/>
      <c r="D26" s="2" t="s">
        <v>188</v>
      </c>
      <c r="E26" s="2" t="s">
        <v>165</v>
      </c>
      <c r="F26" s="2">
        <v>610</v>
      </c>
      <c r="G26" s="72">
        <f>580/1000*F26</f>
        <v>353.79999999999995</v>
      </c>
      <c r="H26" s="6">
        <v>2</v>
      </c>
      <c r="I26" s="6"/>
      <c r="J26" s="10">
        <f t="shared" si="22"/>
        <v>707.59999999999991</v>
      </c>
      <c r="K26" s="16">
        <f t="shared" si="23"/>
        <v>4.4224999999999994</v>
      </c>
      <c r="L26" s="16">
        <v>11</v>
      </c>
      <c r="M26" s="22">
        <f>O2*5/60*2</f>
        <v>333.33333333333331</v>
      </c>
      <c r="N26" s="2"/>
    </row>
    <row r="27" spans="1:14" x14ac:dyDescent="0.15">
      <c r="A27" s="2" t="s">
        <v>144</v>
      </c>
      <c r="B27" s="2"/>
      <c r="C27" s="2"/>
      <c r="D27" s="2" t="s">
        <v>211</v>
      </c>
      <c r="E27" s="2" t="s">
        <v>160</v>
      </c>
      <c r="F27" s="2">
        <v>605</v>
      </c>
      <c r="G27" s="72">
        <f>580/1000*F27</f>
        <v>350.9</v>
      </c>
      <c r="H27" s="6">
        <v>2</v>
      </c>
      <c r="I27" s="6"/>
      <c r="J27" s="10">
        <f t="shared" si="22"/>
        <v>701.8</v>
      </c>
      <c r="K27" s="16">
        <f t="shared" si="23"/>
        <v>4.3862499999999995</v>
      </c>
      <c r="L27" s="16">
        <v>11</v>
      </c>
      <c r="M27" s="22">
        <f t="shared" si="24"/>
        <v>333.33333333333331</v>
      </c>
      <c r="N27" s="2"/>
    </row>
    <row r="28" spans="1:14" x14ac:dyDescent="0.15">
      <c r="A28" s="2" t="s">
        <v>144</v>
      </c>
      <c r="B28" s="2"/>
      <c r="C28" s="2"/>
      <c r="D28" s="2" t="s">
        <v>212</v>
      </c>
      <c r="E28" s="2" t="s">
        <v>213</v>
      </c>
      <c r="F28" s="2">
        <v>590</v>
      </c>
      <c r="G28" s="72">
        <f>645/1000*F28</f>
        <v>380.55</v>
      </c>
      <c r="H28" s="6">
        <v>2</v>
      </c>
      <c r="I28" s="6"/>
      <c r="J28" s="10">
        <f t="shared" si="22"/>
        <v>761.1</v>
      </c>
      <c r="K28" s="16">
        <f t="shared" si="23"/>
        <v>4.756875</v>
      </c>
      <c r="L28" s="16">
        <v>11</v>
      </c>
      <c r="M28" s="22">
        <f t="shared" si="24"/>
        <v>333.33333333333331</v>
      </c>
      <c r="N28" s="2"/>
    </row>
    <row r="29" spans="1:14" x14ac:dyDescent="0.15">
      <c r="A29" s="2" t="s">
        <v>140</v>
      </c>
      <c r="B29" s="2"/>
      <c r="C29" s="2" t="s">
        <v>24</v>
      </c>
      <c r="D29" s="2" t="s">
        <v>161</v>
      </c>
      <c r="E29" s="53" t="s">
        <v>190</v>
      </c>
      <c r="F29" s="53">
        <v>410</v>
      </c>
      <c r="G29" s="72">
        <f>740/1000*F29</f>
        <v>303.39999999999998</v>
      </c>
      <c r="H29" s="6">
        <v>2</v>
      </c>
      <c r="I29" s="6"/>
      <c r="J29" s="10">
        <f t="shared" si="22"/>
        <v>606.79999999999995</v>
      </c>
      <c r="K29" s="16">
        <f t="shared" si="23"/>
        <v>3.7924999999999995</v>
      </c>
      <c r="L29" s="16">
        <v>11</v>
      </c>
      <c r="M29" s="22">
        <f t="shared" ref="M29:M37" si="25">$O$2*5/60*2</f>
        <v>333.33333333333331</v>
      </c>
      <c r="N29" s="2"/>
    </row>
    <row r="30" spans="1:14" x14ac:dyDescent="0.15">
      <c r="A30" s="2" t="s">
        <v>140</v>
      </c>
      <c r="B30" s="2"/>
      <c r="C30" s="2" t="s">
        <v>24</v>
      </c>
      <c r="D30" s="2" t="s">
        <v>214</v>
      </c>
      <c r="E30" s="53" t="s">
        <v>190</v>
      </c>
      <c r="F30" s="53">
        <v>490</v>
      </c>
      <c r="G30" s="72">
        <f>740/1000*F30</f>
        <v>362.6</v>
      </c>
      <c r="H30" s="6">
        <v>2</v>
      </c>
      <c r="I30" s="6"/>
      <c r="J30" s="10">
        <f t="shared" ref="J30" si="26">G30*(H30+I30)</f>
        <v>725.2</v>
      </c>
      <c r="K30" s="16">
        <f t="shared" ref="K30" si="27">J30/$N$2</f>
        <v>4.5325000000000006</v>
      </c>
      <c r="L30" s="16">
        <v>11</v>
      </c>
      <c r="M30" s="22">
        <f t="shared" si="25"/>
        <v>333.33333333333331</v>
      </c>
      <c r="N30" s="2"/>
    </row>
    <row r="31" spans="1:14" x14ac:dyDescent="0.15">
      <c r="A31" s="2"/>
      <c r="B31" s="2"/>
      <c r="C31" s="2"/>
      <c r="D31" s="2"/>
      <c r="E31" s="2"/>
      <c r="F31" s="19"/>
      <c r="G31" s="72"/>
      <c r="H31" s="6"/>
      <c r="I31" s="6"/>
      <c r="J31" s="10"/>
      <c r="K31" s="16"/>
      <c r="L31" s="16"/>
      <c r="M31" s="22"/>
      <c r="N31" s="2"/>
    </row>
    <row r="32" spans="1:14" ht="27" x14ac:dyDescent="0.15">
      <c r="A32" s="2"/>
      <c r="B32" s="2"/>
      <c r="C32" s="2" t="s">
        <v>189</v>
      </c>
      <c r="D32" s="2"/>
      <c r="E32" s="2"/>
      <c r="F32" s="19"/>
      <c r="G32" s="72">
        <v>300</v>
      </c>
      <c r="H32" s="6">
        <v>4</v>
      </c>
      <c r="I32" s="6"/>
      <c r="J32" s="10">
        <f t="shared" si="6"/>
        <v>1200</v>
      </c>
      <c r="K32" s="16">
        <f t="shared" si="7"/>
        <v>7.5</v>
      </c>
      <c r="L32" s="16">
        <v>12</v>
      </c>
      <c r="M32" s="22">
        <f>$O$2*5/60*2</f>
        <v>333.33333333333331</v>
      </c>
      <c r="N32" s="2"/>
    </row>
    <row r="33" spans="1:14" x14ac:dyDescent="0.15">
      <c r="A33" s="2"/>
      <c r="B33" s="2"/>
      <c r="C33" s="2"/>
      <c r="D33" s="2"/>
      <c r="E33" s="2"/>
      <c r="F33" s="19"/>
      <c r="G33" s="72"/>
      <c r="H33" s="6"/>
      <c r="I33" s="6"/>
      <c r="J33" s="10"/>
      <c r="K33" s="16"/>
      <c r="L33" s="16"/>
      <c r="M33" s="22"/>
      <c r="N33" s="2"/>
    </row>
    <row r="34" spans="1:14" x14ac:dyDescent="0.15">
      <c r="A34" s="2"/>
      <c r="B34" s="2"/>
      <c r="C34" s="2"/>
      <c r="D34" s="2"/>
      <c r="E34" s="2"/>
      <c r="F34" s="19"/>
      <c r="G34" s="72"/>
      <c r="H34" s="6"/>
      <c r="I34" s="6"/>
      <c r="J34" s="10"/>
      <c r="K34" s="16"/>
      <c r="L34" s="16"/>
      <c r="M34" s="22"/>
      <c r="N34" s="2"/>
    </row>
    <row r="35" spans="1:14" x14ac:dyDescent="0.15">
      <c r="A35" s="2"/>
      <c r="B35" s="2"/>
      <c r="C35" s="2"/>
      <c r="D35" s="2"/>
      <c r="E35" s="2"/>
      <c r="F35" s="19"/>
      <c r="G35" s="72"/>
      <c r="H35" s="6"/>
      <c r="I35" s="6"/>
      <c r="J35" s="10"/>
      <c r="K35" s="16"/>
      <c r="L35" s="16"/>
      <c r="M35" s="22"/>
      <c r="N35" s="2"/>
    </row>
    <row r="36" spans="1:14" x14ac:dyDescent="0.15">
      <c r="A36" s="2"/>
      <c r="B36" s="2"/>
      <c r="C36" s="2"/>
      <c r="D36" s="2"/>
      <c r="E36" s="2"/>
      <c r="F36" s="19"/>
      <c r="G36" s="72"/>
      <c r="H36" s="6"/>
      <c r="I36" s="6"/>
      <c r="J36" s="10"/>
      <c r="K36" s="16"/>
      <c r="L36" s="16"/>
      <c r="M36" s="22"/>
      <c r="N36" s="2"/>
    </row>
    <row r="37" spans="1:14" x14ac:dyDescent="0.15">
      <c r="A37" s="2" t="s">
        <v>25</v>
      </c>
      <c r="B37" s="2" t="s">
        <v>26</v>
      </c>
      <c r="C37" s="2" t="s">
        <v>27</v>
      </c>
      <c r="D37" s="2" t="s">
        <v>215</v>
      </c>
      <c r="E37" s="2" t="s">
        <v>207</v>
      </c>
      <c r="F37" s="2">
        <v>40</v>
      </c>
      <c r="G37" s="72">
        <v>200</v>
      </c>
      <c r="H37" s="6">
        <v>2</v>
      </c>
      <c r="I37" s="6"/>
      <c r="J37" s="10">
        <f t="shared" si="6"/>
        <v>400</v>
      </c>
      <c r="K37" s="16">
        <f>J37/$N$2</f>
        <v>2.5</v>
      </c>
      <c r="L37" s="16">
        <v>30</v>
      </c>
      <c r="M37" s="22">
        <f t="shared" si="25"/>
        <v>333.33333333333331</v>
      </c>
      <c r="N37" s="2"/>
    </row>
    <row r="38" spans="1:14" x14ac:dyDescent="0.15">
      <c r="A38" s="2"/>
      <c r="B38" s="2"/>
      <c r="C38" s="2"/>
      <c r="D38" s="2"/>
      <c r="E38" s="2"/>
      <c r="F38" s="2"/>
      <c r="G38" s="72"/>
      <c r="H38" s="6"/>
      <c r="I38" s="6"/>
      <c r="J38" s="10"/>
      <c r="K38" s="16"/>
      <c r="L38" s="16"/>
      <c r="M38" s="22"/>
      <c r="N38" s="2"/>
    </row>
    <row r="39" spans="1:14" ht="27" x14ac:dyDescent="0.15">
      <c r="A39" s="2" t="s">
        <v>29</v>
      </c>
      <c r="B39" s="2"/>
      <c r="C39" s="2"/>
      <c r="D39" s="2" t="s">
        <v>30</v>
      </c>
      <c r="E39" s="2" t="s">
        <v>14</v>
      </c>
      <c r="F39" s="2" t="s">
        <v>28</v>
      </c>
      <c r="G39" s="72">
        <v>100</v>
      </c>
      <c r="H39" s="6">
        <v>2</v>
      </c>
      <c r="I39" s="6"/>
      <c r="J39" s="10">
        <f t="shared" si="6"/>
        <v>200</v>
      </c>
      <c r="K39" s="16">
        <f t="shared" si="7"/>
        <v>1.25</v>
      </c>
      <c r="L39" s="16">
        <v>30</v>
      </c>
      <c r="M39" s="22">
        <f>$O$2*3/60*2</f>
        <v>200</v>
      </c>
      <c r="N39" s="2"/>
    </row>
    <row r="40" spans="1:14" ht="27" x14ac:dyDescent="0.15">
      <c r="A40" s="2" t="s">
        <v>31</v>
      </c>
      <c r="B40" s="2"/>
      <c r="D40" s="2" t="s">
        <v>32</v>
      </c>
      <c r="E40" s="2" t="s">
        <v>191</v>
      </c>
      <c r="F40" s="2" t="s">
        <v>220</v>
      </c>
      <c r="G40" s="72">
        <v>200</v>
      </c>
      <c r="H40" s="6">
        <v>2</v>
      </c>
      <c r="I40" s="6"/>
      <c r="J40" s="10">
        <f t="shared" si="6"/>
        <v>400</v>
      </c>
      <c r="K40" s="16">
        <f t="shared" si="7"/>
        <v>2.5</v>
      </c>
      <c r="L40" s="16">
        <v>30</v>
      </c>
      <c r="M40" s="22">
        <f>O2*3/60*2</f>
        <v>200</v>
      </c>
      <c r="N40" s="2"/>
    </row>
    <row r="41" spans="1:14" ht="40.5" x14ac:dyDescent="0.15">
      <c r="A41" s="2" t="s">
        <v>34</v>
      </c>
      <c r="B41" s="2" t="s">
        <v>35</v>
      </c>
      <c r="C41" s="2" t="s">
        <v>26</v>
      </c>
      <c r="D41" s="2" t="s">
        <v>26</v>
      </c>
      <c r="E41" s="2" t="s">
        <v>191</v>
      </c>
      <c r="F41" s="2" t="s">
        <v>216</v>
      </c>
      <c r="G41" s="72">
        <v>500</v>
      </c>
      <c r="H41" s="6">
        <v>2</v>
      </c>
      <c r="I41" s="6"/>
      <c r="J41" s="10">
        <f>G41*(H41+I41)</f>
        <v>1000</v>
      </c>
      <c r="K41" s="16">
        <f t="shared" si="7"/>
        <v>6.25</v>
      </c>
      <c r="L41" s="16">
        <v>30</v>
      </c>
      <c r="M41" s="22">
        <f>O2*4.5/60*2</f>
        <v>300</v>
      </c>
      <c r="N41" s="5"/>
    </row>
    <row r="42" spans="1:14" x14ac:dyDescent="0.15">
      <c r="A42" s="2" t="s">
        <v>36</v>
      </c>
      <c r="B42" s="2"/>
      <c r="C42" s="2" t="s">
        <v>11</v>
      </c>
      <c r="D42" s="2" t="s">
        <v>11</v>
      </c>
      <c r="E42" s="2" t="s">
        <v>213</v>
      </c>
      <c r="F42" s="2">
        <v>500</v>
      </c>
      <c r="G42" s="72">
        <f>645/1000*F42</f>
        <v>322.5</v>
      </c>
      <c r="H42" s="6">
        <v>2</v>
      </c>
      <c r="I42" s="6"/>
      <c r="J42" s="10">
        <f t="shared" ref="J42" si="28">G42*(H42+I42)</f>
        <v>645</v>
      </c>
      <c r="K42" s="16">
        <f t="shared" si="7"/>
        <v>4.03125</v>
      </c>
      <c r="L42" s="16">
        <v>11</v>
      </c>
      <c r="M42" s="22">
        <f>O2*4.5/60*2</f>
        <v>300</v>
      </c>
      <c r="N42" s="2"/>
    </row>
    <row r="43" spans="1:14" x14ac:dyDescent="0.15">
      <c r="A43" s="2"/>
      <c r="B43" s="2"/>
      <c r="C43" s="2"/>
      <c r="D43" s="2"/>
      <c r="E43" s="2"/>
      <c r="F43" s="2"/>
      <c r="G43" s="72"/>
      <c r="H43" s="6"/>
      <c r="I43" s="6"/>
      <c r="J43" s="10"/>
      <c r="K43" s="16"/>
      <c r="L43" s="16"/>
      <c r="M43" s="22"/>
      <c r="N43" s="2"/>
    </row>
    <row r="44" spans="1:14" ht="27" x14ac:dyDescent="0.15">
      <c r="A44" s="2" t="s">
        <v>38</v>
      </c>
      <c r="B44" s="2"/>
      <c r="C44" s="2" t="s">
        <v>18</v>
      </c>
      <c r="D44" s="2" t="s">
        <v>39</v>
      </c>
      <c r="E44" s="2" t="s">
        <v>192</v>
      </c>
      <c r="F44" s="2"/>
      <c r="G44" s="72">
        <v>100</v>
      </c>
      <c r="H44" s="6">
        <v>2</v>
      </c>
      <c r="I44" s="6"/>
      <c r="J44" s="10">
        <f t="shared" si="6"/>
        <v>200</v>
      </c>
      <c r="K44" s="16">
        <f>J44/$N$2</f>
        <v>1.25</v>
      </c>
      <c r="L44" s="16">
        <v>45</v>
      </c>
      <c r="M44" s="22"/>
      <c r="N44" s="2"/>
    </row>
    <row r="45" spans="1:14" x14ac:dyDescent="0.15">
      <c r="A45" s="2" t="s">
        <v>40</v>
      </c>
      <c r="B45" s="2" t="s">
        <v>37</v>
      </c>
      <c r="C45" s="2" t="s">
        <v>20</v>
      </c>
      <c r="D45" s="2" t="s">
        <v>41</v>
      </c>
      <c r="E45" s="2" t="s">
        <v>207</v>
      </c>
      <c r="F45" s="2"/>
      <c r="G45" s="72">
        <v>100</v>
      </c>
      <c r="H45" s="6">
        <v>4</v>
      </c>
      <c r="I45" s="6"/>
      <c r="J45" s="10">
        <f t="shared" si="6"/>
        <v>400</v>
      </c>
      <c r="K45" s="16">
        <f t="shared" si="7"/>
        <v>2.5</v>
      </c>
      <c r="L45" s="16">
        <v>45</v>
      </c>
      <c r="M45" s="22"/>
      <c r="N45" s="2"/>
    </row>
    <row r="46" spans="1:14" x14ac:dyDescent="0.15">
      <c r="A46" s="2" t="s">
        <v>42</v>
      </c>
      <c r="B46" s="2"/>
      <c r="C46" s="2"/>
      <c r="D46" s="2" t="s">
        <v>43</v>
      </c>
      <c r="E46" s="2" t="s">
        <v>136</v>
      </c>
      <c r="F46" s="2"/>
      <c r="G46" s="72">
        <v>100</v>
      </c>
      <c r="H46" s="6">
        <v>2</v>
      </c>
      <c r="I46" s="6"/>
      <c r="J46" s="10">
        <f t="shared" si="6"/>
        <v>200</v>
      </c>
      <c r="K46" s="16">
        <f t="shared" si="7"/>
        <v>1.25</v>
      </c>
      <c r="L46" s="16">
        <v>45</v>
      </c>
      <c r="M46" s="22"/>
      <c r="N46" s="2"/>
    </row>
    <row r="47" spans="1:14" x14ac:dyDescent="0.15">
      <c r="A47" s="2" t="s">
        <v>44</v>
      </c>
      <c r="B47" s="2"/>
      <c r="C47" s="2"/>
      <c r="D47" s="2" t="s">
        <v>45</v>
      </c>
      <c r="E47" s="2" t="s">
        <v>136</v>
      </c>
      <c r="F47" s="2"/>
      <c r="G47" s="72">
        <v>100</v>
      </c>
      <c r="H47" s="6">
        <v>2</v>
      </c>
      <c r="I47" s="6"/>
      <c r="J47" s="10">
        <f t="shared" si="6"/>
        <v>200</v>
      </c>
      <c r="K47" s="16">
        <f t="shared" si="7"/>
        <v>1.25</v>
      </c>
      <c r="L47" s="16">
        <v>45</v>
      </c>
      <c r="M47" s="22"/>
      <c r="N47" s="2"/>
    </row>
    <row r="48" spans="1:14" ht="129" customHeight="1" x14ac:dyDescent="0.15">
      <c r="A48" s="2" t="s">
        <v>46</v>
      </c>
      <c r="B48" s="2" t="s">
        <v>47</v>
      </c>
      <c r="C48" s="2"/>
      <c r="D48" s="2" t="s">
        <v>48</v>
      </c>
      <c r="E48" s="61" t="s">
        <v>230</v>
      </c>
      <c r="F48" s="3"/>
      <c r="G48" s="72">
        <v>500</v>
      </c>
      <c r="H48" s="6">
        <v>2</v>
      </c>
      <c r="I48" s="6"/>
      <c r="J48" s="10">
        <f t="shared" si="6"/>
        <v>1000</v>
      </c>
      <c r="K48" s="16">
        <f>J48/$N$2</f>
        <v>6.25</v>
      </c>
      <c r="L48" s="16">
        <v>40</v>
      </c>
      <c r="M48" s="22">
        <v>2000</v>
      </c>
    </row>
    <row r="49" spans="1:14" s="78" customFormat="1" x14ac:dyDescent="0.15">
      <c r="A49" s="73"/>
      <c r="B49" s="73"/>
      <c r="C49" s="73"/>
      <c r="D49" s="73"/>
      <c r="E49" s="73"/>
      <c r="F49" s="73"/>
      <c r="G49" s="102"/>
      <c r="H49" s="74"/>
      <c r="I49" s="74"/>
      <c r="J49" s="75"/>
      <c r="K49" s="76"/>
      <c r="L49" s="76"/>
      <c r="M49" s="77"/>
      <c r="N49" s="73"/>
    </row>
    <row r="50" spans="1:14" x14ac:dyDescent="0.15">
      <c r="A50" s="2" t="s">
        <v>49</v>
      </c>
      <c r="B50" s="2"/>
      <c r="C50" s="2"/>
      <c r="D50" s="2" t="s">
        <v>217</v>
      </c>
      <c r="E50" s="2" t="s">
        <v>218</v>
      </c>
      <c r="F50" s="3"/>
      <c r="G50" s="72">
        <v>2500</v>
      </c>
      <c r="H50" s="6">
        <v>2</v>
      </c>
      <c r="I50" s="6"/>
      <c r="J50" s="10">
        <f t="shared" ref="J50:J90" si="29">G50*(H50+I50)</f>
        <v>5000</v>
      </c>
      <c r="K50" s="16">
        <f>J50/$N$2</f>
        <v>31.25</v>
      </c>
      <c r="L50" s="16"/>
      <c r="M50" s="22">
        <v>2000</v>
      </c>
    </row>
    <row r="51" spans="1:14" s="34" customFormat="1" ht="27" x14ac:dyDescent="0.15">
      <c r="A51" s="19" t="s">
        <v>50</v>
      </c>
      <c r="B51" s="19"/>
      <c r="C51" s="19" t="s">
        <v>51</v>
      </c>
      <c r="D51" s="19"/>
      <c r="E51" s="19" t="s">
        <v>182</v>
      </c>
      <c r="F51" s="19"/>
      <c r="G51" s="103">
        <v>40</v>
      </c>
      <c r="H51" s="31">
        <v>1</v>
      </c>
      <c r="I51" s="31"/>
      <c r="J51" s="32">
        <f t="shared" si="29"/>
        <v>40</v>
      </c>
      <c r="K51" s="16">
        <f t="shared" ref="K51:K58" si="30">J51/$N$2</f>
        <v>0.25</v>
      </c>
      <c r="L51" s="33"/>
      <c r="M51" s="30"/>
      <c r="N51" s="19"/>
    </row>
    <row r="52" spans="1:14" s="58" customFormat="1" ht="40.5" x14ac:dyDescent="0.15">
      <c r="A52" s="53" t="s">
        <v>52</v>
      </c>
      <c r="B52" s="53"/>
      <c r="C52" s="53" t="s">
        <v>53</v>
      </c>
      <c r="D52" s="53"/>
      <c r="E52" s="53" t="s">
        <v>166</v>
      </c>
      <c r="F52" s="53"/>
      <c r="G52" s="104">
        <v>30</v>
      </c>
      <c r="H52" s="55">
        <v>2</v>
      </c>
      <c r="I52" s="55"/>
      <c r="J52" s="56">
        <f>G52*2</f>
        <v>60</v>
      </c>
      <c r="K52" s="16">
        <f t="shared" si="30"/>
        <v>0.375</v>
      </c>
      <c r="L52" s="57"/>
      <c r="M52" s="54"/>
      <c r="N52" s="71" t="s">
        <v>54</v>
      </c>
    </row>
    <row r="53" spans="1:14" ht="40.5" x14ac:dyDescent="0.15">
      <c r="A53" s="2" t="s">
        <v>55</v>
      </c>
      <c r="B53" s="2"/>
      <c r="C53" s="2" t="s">
        <v>56</v>
      </c>
      <c r="D53" s="2"/>
      <c r="E53" s="2" t="s">
        <v>57</v>
      </c>
      <c r="F53" s="2"/>
      <c r="G53" s="72">
        <f>11+5</f>
        <v>16</v>
      </c>
      <c r="H53" s="6">
        <v>4</v>
      </c>
      <c r="I53" s="6"/>
      <c r="J53" s="10">
        <f t="shared" si="29"/>
        <v>64</v>
      </c>
      <c r="K53" s="16">
        <f t="shared" si="30"/>
        <v>0.4</v>
      </c>
      <c r="L53" s="16"/>
      <c r="M53" s="22"/>
      <c r="N53" s="5" t="s">
        <v>54</v>
      </c>
    </row>
    <row r="54" spans="1:14" x14ac:dyDescent="0.15">
      <c r="A54" s="2" t="s">
        <v>58</v>
      </c>
      <c r="B54" s="2" t="s">
        <v>59</v>
      </c>
      <c r="C54" s="2" t="s">
        <v>60</v>
      </c>
      <c r="D54" s="70" t="s">
        <v>219</v>
      </c>
      <c r="E54" s="69"/>
      <c r="F54" s="3"/>
      <c r="G54" s="72">
        <f>3.59*N2</f>
        <v>574.4</v>
      </c>
      <c r="H54" s="6">
        <v>4</v>
      </c>
      <c r="I54" s="6">
        <v>4</v>
      </c>
      <c r="J54" s="10">
        <f t="shared" si="29"/>
        <v>4595.2</v>
      </c>
      <c r="K54" s="16">
        <f t="shared" si="30"/>
        <v>28.72</v>
      </c>
      <c r="L54" s="16">
        <v>20</v>
      </c>
      <c r="M54" s="22">
        <f>O2*30/60*2</f>
        <v>2000</v>
      </c>
    </row>
    <row r="55" spans="1:14" ht="27" x14ac:dyDescent="0.15">
      <c r="A55" s="2" t="s">
        <v>61</v>
      </c>
      <c r="B55" s="2"/>
      <c r="C55" s="2"/>
      <c r="D55" s="2" t="s">
        <v>221</v>
      </c>
      <c r="E55" s="2"/>
      <c r="F55" s="3"/>
      <c r="G55" s="72">
        <v>400</v>
      </c>
      <c r="H55" s="6">
        <v>1</v>
      </c>
      <c r="I55" s="6"/>
      <c r="J55" s="10">
        <f t="shared" si="29"/>
        <v>400</v>
      </c>
      <c r="K55" s="16">
        <f t="shared" si="30"/>
        <v>2.5</v>
      </c>
      <c r="L55" s="16">
        <v>20</v>
      </c>
      <c r="M55" s="22">
        <f>O2*30/60</f>
        <v>1000</v>
      </c>
    </row>
    <row r="56" spans="1:14" s="58" customFormat="1" x14ac:dyDescent="0.15">
      <c r="A56" s="53" t="s">
        <v>94</v>
      </c>
      <c r="B56" s="53"/>
      <c r="C56" s="53" t="s">
        <v>95</v>
      </c>
      <c r="D56" s="53" t="s">
        <v>231</v>
      </c>
      <c r="E56" s="53"/>
      <c r="F56" s="53"/>
      <c r="G56" s="104">
        <v>2500</v>
      </c>
      <c r="H56" s="55">
        <v>0</v>
      </c>
      <c r="I56" s="55"/>
      <c r="J56" s="56">
        <f t="shared" si="29"/>
        <v>0</v>
      </c>
      <c r="K56" s="57">
        <f t="shared" si="30"/>
        <v>0</v>
      </c>
      <c r="L56" s="57">
        <v>0</v>
      </c>
      <c r="M56" s="54">
        <v>0</v>
      </c>
      <c r="N56" s="53"/>
    </row>
    <row r="57" spans="1:14" s="95" customFormat="1" ht="27" customHeight="1" x14ac:dyDescent="0.15">
      <c r="A57" s="89"/>
      <c r="B57" s="89"/>
      <c r="C57" s="89"/>
      <c r="D57" s="89"/>
      <c r="E57" s="89"/>
      <c r="F57" s="89"/>
      <c r="G57" s="105"/>
      <c r="H57" s="90"/>
      <c r="I57" s="90"/>
      <c r="J57" s="91"/>
      <c r="K57" s="92"/>
      <c r="L57" s="92"/>
      <c r="M57" s="93"/>
      <c r="N57" s="89"/>
    </row>
    <row r="58" spans="1:14" ht="27" x14ac:dyDescent="0.15">
      <c r="A58" s="2" t="s">
        <v>62</v>
      </c>
      <c r="B58" s="2"/>
      <c r="C58" s="2"/>
      <c r="D58" s="19" t="s">
        <v>177</v>
      </c>
      <c r="E58" s="2"/>
      <c r="F58" s="2"/>
      <c r="G58" s="72">
        <v>50</v>
      </c>
      <c r="H58" s="6">
        <v>1</v>
      </c>
      <c r="I58" s="6"/>
      <c r="J58" s="10">
        <f>G58*H58</f>
        <v>50</v>
      </c>
      <c r="K58" s="16">
        <f t="shared" si="30"/>
        <v>0.3125</v>
      </c>
      <c r="L58" s="16"/>
      <c r="M58" s="22"/>
      <c r="N58" s="2"/>
    </row>
    <row r="59" spans="1:14" ht="67.5" x14ac:dyDescent="0.15">
      <c r="A59" s="2" t="s">
        <v>63</v>
      </c>
      <c r="B59" s="2"/>
      <c r="C59" s="2" t="s">
        <v>64</v>
      </c>
      <c r="D59" s="2" t="s">
        <v>65</v>
      </c>
      <c r="E59" s="2"/>
      <c r="F59" s="3" t="s">
        <v>178</v>
      </c>
      <c r="G59" s="72">
        <v>400</v>
      </c>
      <c r="H59" s="6">
        <v>2</v>
      </c>
      <c r="I59" s="6"/>
      <c r="J59" s="10">
        <f t="shared" si="29"/>
        <v>800</v>
      </c>
      <c r="K59" s="16">
        <f>J59/$N$2</f>
        <v>5</v>
      </c>
      <c r="L59" s="16">
        <v>10</v>
      </c>
      <c r="M59" s="22">
        <f>O2*20/60*2</f>
        <v>1333.3333333333333</v>
      </c>
      <c r="N59" s="2"/>
    </row>
    <row r="60" spans="1:14" x14ac:dyDescent="0.15">
      <c r="A60" s="2" t="s">
        <v>66</v>
      </c>
      <c r="B60" s="2"/>
      <c r="C60" s="2" t="s">
        <v>67</v>
      </c>
      <c r="D60" s="69" t="s">
        <v>167</v>
      </c>
      <c r="E60" s="70"/>
      <c r="F60" s="3"/>
      <c r="G60" s="72">
        <f>3.35*N2</f>
        <v>536</v>
      </c>
      <c r="H60" s="6">
        <v>2</v>
      </c>
      <c r="I60" s="6"/>
      <c r="J60" s="10">
        <f t="shared" si="29"/>
        <v>1072</v>
      </c>
      <c r="K60" s="16">
        <f t="shared" ref="K60:K65" si="31">J60/$N$2</f>
        <v>6.7</v>
      </c>
      <c r="L60" s="16">
        <v>20</v>
      </c>
      <c r="M60" s="22"/>
    </row>
    <row r="61" spans="1:14" ht="27" x14ac:dyDescent="0.15">
      <c r="A61" s="2" t="s">
        <v>68</v>
      </c>
      <c r="B61" s="2"/>
      <c r="C61" s="2" t="s">
        <v>222</v>
      </c>
      <c r="D61" s="2" t="s">
        <v>168</v>
      </c>
      <c r="E61" s="2" t="s">
        <v>169</v>
      </c>
      <c r="G61" s="72">
        <f>13*120/30*7</f>
        <v>364</v>
      </c>
      <c r="H61" s="6">
        <v>1</v>
      </c>
      <c r="I61" s="6"/>
      <c r="J61" s="10">
        <f t="shared" si="29"/>
        <v>364</v>
      </c>
      <c r="K61" s="16">
        <f t="shared" si="31"/>
        <v>2.2749999999999999</v>
      </c>
      <c r="L61" s="16">
        <v>50</v>
      </c>
      <c r="M61" s="22">
        <v>300</v>
      </c>
      <c r="N61" s="5" t="s">
        <v>69</v>
      </c>
    </row>
    <row r="62" spans="1:14" ht="138.75" customHeight="1" x14ac:dyDescent="0.15">
      <c r="A62" s="2" t="s">
        <v>70</v>
      </c>
      <c r="B62" s="2"/>
      <c r="C62" s="2"/>
      <c r="D62" s="2" t="s">
        <v>170</v>
      </c>
      <c r="E62" s="2"/>
      <c r="F62" s="2"/>
      <c r="G62" s="72">
        <f>1200/10</f>
        <v>120</v>
      </c>
      <c r="H62" s="6">
        <v>4</v>
      </c>
      <c r="I62" s="6"/>
      <c r="J62" s="10">
        <f t="shared" si="29"/>
        <v>480</v>
      </c>
      <c r="K62" s="16">
        <f t="shared" si="31"/>
        <v>3</v>
      </c>
      <c r="L62" s="16"/>
      <c r="M62" s="22"/>
      <c r="N62" s="2"/>
    </row>
    <row r="63" spans="1:14" s="95" customFormat="1" x14ac:dyDescent="0.15">
      <c r="A63" s="89"/>
      <c r="B63" s="89"/>
      <c r="C63" s="89"/>
      <c r="D63" s="89"/>
      <c r="E63" s="89"/>
      <c r="F63" s="89"/>
      <c r="G63" s="105"/>
      <c r="H63" s="90"/>
      <c r="I63" s="90"/>
      <c r="J63" s="91"/>
      <c r="K63" s="92"/>
      <c r="L63" s="92"/>
      <c r="M63" s="93"/>
      <c r="N63" s="94"/>
    </row>
    <row r="64" spans="1:14" x14ac:dyDescent="0.15">
      <c r="A64" s="2" t="s">
        <v>71</v>
      </c>
      <c r="B64" s="2"/>
      <c r="C64" s="2" t="s">
        <v>72</v>
      </c>
      <c r="D64" s="2" t="s">
        <v>179</v>
      </c>
      <c r="E64" s="69"/>
      <c r="F64" s="2"/>
      <c r="G64" s="72">
        <v>851</v>
      </c>
      <c r="H64" s="6">
        <v>1</v>
      </c>
      <c r="I64" s="6"/>
      <c r="J64" s="10">
        <f t="shared" si="29"/>
        <v>851</v>
      </c>
      <c r="K64" s="16">
        <f t="shared" si="31"/>
        <v>5.3187499999999996</v>
      </c>
      <c r="L64" s="16">
        <v>20</v>
      </c>
      <c r="M64" s="22"/>
      <c r="N64" s="5"/>
    </row>
    <row r="65" spans="1:15" ht="40.5" x14ac:dyDescent="0.15">
      <c r="A65" s="2" t="s">
        <v>73</v>
      </c>
      <c r="B65" s="2" t="s">
        <v>74</v>
      </c>
      <c r="C65" s="2" t="s">
        <v>75</v>
      </c>
      <c r="D65" s="2" t="s">
        <v>223</v>
      </c>
      <c r="E65" s="2"/>
      <c r="F65" s="2"/>
      <c r="G65" s="72">
        <v>120</v>
      </c>
      <c r="H65" s="6">
        <v>6</v>
      </c>
      <c r="I65" s="6"/>
      <c r="J65" s="10">
        <f t="shared" si="29"/>
        <v>720</v>
      </c>
      <c r="K65" s="16">
        <f t="shared" si="31"/>
        <v>4.5</v>
      </c>
      <c r="L65" s="16"/>
      <c r="M65" s="22"/>
      <c r="N65" s="5" t="s">
        <v>76</v>
      </c>
      <c r="O65" s="1" t="s">
        <v>77</v>
      </c>
    </row>
    <row r="66" spans="1:15" ht="40.5" x14ac:dyDescent="0.15">
      <c r="A66" s="2" t="s">
        <v>78</v>
      </c>
      <c r="B66" s="2"/>
      <c r="C66" s="2" t="s">
        <v>79</v>
      </c>
      <c r="D66" s="2" t="s">
        <v>224</v>
      </c>
      <c r="E66" s="2"/>
      <c r="F66" s="2"/>
      <c r="G66" s="72">
        <v>50</v>
      </c>
      <c r="H66" s="6">
        <v>3</v>
      </c>
      <c r="I66" s="6">
        <v>1</v>
      </c>
      <c r="J66" s="10">
        <f t="shared" si="29"/>
        <v>200</v>
      </c>
      <c r="K66" s="16">
        <f>J66/$N$2</f>
        <v>1.25</v>
      </c>
      <c r="L66" s="16"/>
      <c r="M66" s="22"/>
      <c r="N66" s="8"/>
    </row>
    <row r="67" spans="1:15" s="36" customFormat="1" x14ac:dyDescent="0.15">
      <c r="A67" s="4"/>
      <c r="B67" s="4"/>
      <c r="C67" s="4"/>
      <c r="D67" s="4"/>
      <c r="E67" s="4"/>
      <c r="F67" s="4"/>
      <c r="G67" s="106"/>
      <c r="H67" s="11"/>
      <c r="I67" s="11"/>
      <c r="J67" s="12"/>
      <c r="K67" s="16"/>
      <c r="L67" s="35"/>
      <c r="M67" s="23"/>
      <c r="N67" s="4"/>
    </row>
    <row r="68" spans="1:15" x14ac:dyDescent="0.15">
      <c r="A68" s="2" t="s">
        <v>80</v>
      </c>
      <c r="B68" s="2" t="s">
        <v>171</v>
      </c>
      <c r="C68" s="2" t="s">
        <v>81</v>
      </c>
      <c r="D68" s="2"/>
      <c r="E68" s="2"/>
      <c r="F68" s="2"/>
      <c r="G68" s="72">
        <v>20</v>
      </c>
      <c r="H68" s="6">
        <v>2</v>
      </c>
      <c r="I68" s="6"/>
      <c r="J68" s="10">
        <f t="shared" si="29"/>
        <v>40</v>
      </c>
      <c r="K68" s="16">
        <f t="shared" ref="K68:K93" si="32">J68/$N$2</f>
        <v>0.25</v>
      </c>
      <c r="L68" s="16">
        <v>10</v>
      </c>
      <c r="M68" s="22"/>
    </row>
    <row r="69" spans="1:15" ht="27" x14ac:dyDescent="0.15">
      <c r="A69" s="2"/>
      <c r="B69" s="2" t="s">
        <v>82</v>
      </c>
      <c r="C69" s="2"/>
      <c r="D69" s="2" t="s">
        <v>225</v>
      </c>
      <c r="F69" s="2" t="s">
        <v>83</v>
      </c>
      <c r="G69" s="72">
        <f>4000/300*12</f>
        <v>160</v>
      </c>
      <c r="H69" s="6">
        <v>1</v>
      </c>
      <c r="I69" s="6"/>
      <c r="J69" s="10">
        <f t="shared" si="29"/>
        <v>160</v>
      </c>
      <c r="K69" s="16">
        <f t="shared" si="32"/>
        <v>1</v>
      </c>
      <c r="L69" s="16">
        <f>500/300*12</f>
        <v>20</v>
      </c>
      <c r="M69" s="22"/>
      <c r="N69" s="2"/>
    </row>
    <row r="70" spans="1:15" x14ac:dyDescent="0.15">
      <c r="A70" s="2"/>
      <c r="B70" s="2"/>
      <c r="C70" s="2"/>
      <c r="D70" s="4"/>
      <c r="E70" s="2"/>
      <c r="F70" s="2"/>
      <c r="G70" s="72"/>
      <c r="H70" s="6"/>
      <c r="I70" s="6"/>
      <c r="J70" s="10"/>
      <c r="K70" s="16"/>
      <c r="L70" s="16"/>
      <c r="M70" s="22"/>
      <c r="N70" s="2"/>
    </row>
    <row r="71" spans="1:15" ht="54" x14ac:dyDescent="0.15">
      <c r="A71" s="2" t="s">
        <v>84</v>
      </c>
      <c r="B71" s="2" t="s">
        <v>85</v>
      </c>
      <c r="C71" s="2"/>
      <c r="D71" s="2" t="s">
        <v>126</v>
      </c>
      <c r="F71" s="2" t="s">
        <v>86</v>
      </c>
      <c r="G71" s="72">
        <f>1480/100*2</f>
        <v>29.6</v>
      </c>
      <c r="H71" s="6">
        <v>1</v>
      </c>
      <c r="I71" s="6"/>
      <c r="J71" s="10">
        <f t="shared" si="29"/>
        <v>29.6</v>
      </c>
      <c r="K71" s="16">
        <f t="shared" si="32"/>
        <v>0.185</v>
      </c>
      <c r="L71" s="16">
        <v>50</v>
      </c>
      <c r="M71" s="22"/>
      <c r="N71" s="8" t="s">
        <v>87</v>
      </c>
    </row>
    <row r="72" spans="1:15" x14ac:dyDescent="0.15">
      <c r="A72" s="2" t="s">
        <v>88</v>
      </c>
      <c r="B72" s="2" t="s">
        <v>85</v>
      </c>
      <c r="C72" s="2"/>
      <c r="D72" s="2" t="s">
        <v>89</v>
      </c>
      <c r="E72" s="2"/>
      <c r="F72" s="2" t="s">
        <v>175</v>
      </c>
      <c r="G72" s="72">
        <v>500</v>
      </c>
      <c r="H72" s="6">
        <v>1</v>
      </c>
      <c r="I72" s="6"/>
      <c r="J72" s="10">
        <f t="shared" si="29"/>
        <v>500</v>
      </c>
      <c r="K72" s="16">
        <f t="shared" si="32"/>
        <v>3.125</v>
      </c>
      <c r="L72" s="16"/>
      <c r="M72" s="22">
        <f>O2*10/60*2</f>
        <v>666.66666666666663</v>
      </c>
      <c r="N72" s="2"/>
    </row>
    <row r="73" spans="1:15" ht="27" x14ac:dyDescent="0.15">
      <c r="A73" s="2"/>
      <c r="B73" s="2" t="s">
        <v>90</v>
      </c>
      <c r="C73" s="2"/>
      <c r="D73" s="2" t="s">
        <v>125</v>
      </c>
      <c r="E73" s="2"/>
      <c r="F73" s="2" t="s">
        <v>176</v>
      </c>
      <c r="G73" s="72">
        <f>4460/55*10</f>
        <v>810.90909090909099</v>
      </c>
      <c r="H73" s="6">
        <v>1</v>
      </c>
      <c r="I73" s="6"/>
      <c r="J73" s="10">
        <f t="shared" si="29"/>
        <v>810.90909090909099</v>
      </c>
      <c r="K73" s="16">
        <f t="shared" si="32"/>
        <v>5.0681818181818183</v>
      </c>
      <c r="L73" s="16">
        <f>600/55*2</f>
        <v>21.818181818181817</v>
      </c>
      <c r="N73" s="2"/>
    </row>
    <row r="74" spans="1:15" ht="40.5" x14ac:dyDescent="0.15">
      <c r="A74" s="2" t="s">
        <v>91</v>
      </c>
      <c r="B74" s="2" t="s">
        <v>92</v>
      </c>
      <c r="C74" s="2"/>
      <c r="D74" s="2" t="s">
        <v>226</v>
      </c>
      <c r="E74" s="2"/>
      <c r="F74" s="3"/>
      <c r="G74" s="72">
        <f>13.25*N2</f>
        <v>2120</v>
      </c>
      <c r="H74" s="6">
        <v>3</v>
      </c>
      <c r="I74" s="6"/>
      <c r="J74" s="10">
        <f t="shared" si="29"/>
        <v>6360</v>
      </c>
      <c r="K74" s="16">
        <f t="shared" si="32"/>
        <v>39.75</v>
      </c>
      <c r="L74" s="16"/>
      <c r="M74" s="22">
        <f>O2*45/60*2</f>
        <v>3000</v>
      </c>
      <c r="N74" s="2"/>
    </row>
    <row r="75" spans="1:15" x14ac:dyDescent="0.15">
      <c r="A75" s="2"/>
      <c r="B75" s="2"/>
      <c r="C75" s="2"/>
      <c r="D75" s="4"/>
      <c r="E75" s="2"/>
      <c r="F75" s="2"/>
      <c r="G75" s="72"/>
      <c r="H75" s="6"/>
      <c r="I75" s="6"/>
      <c r="J75" s="10"/>
      <c r="K75" s="16"/>
      <c r="L75" s="16"/>
      <c r="M75" s="22"/>
      <c r="N75" s="2"/>
    </row>
    <row r="76" spans="1:15" x14ac:dyDescent="0.15">
      <c r="A76" s="2"/>
      <c r="B76" s="2"/>
      <c r="C76" s="2"/>
      <c r="D76" s="2"/>
      <c r="E76" s="2"/>
      <c r="F76" s="2"/>
      <c r="G76" s="72"/>
      <c r="H76" s="6"/>
      <c r="I76" s="6"/>
      <c r="J76" s="10"/>
      <c r="K76" s="16"/>
      <c r="L76" s="16"/>
      <c r="M76" s="22"/>
      <c r="N76" s="5"/>
    </row>
    <row r="77" spans="1:15" ht="108" x14ac:dyDescent="0.15">
      <c r="A77" s="70"/>
      <c r="B77" s="2"/>
      <c r="C77" s="2" t="s">
        <v>227</v>
      </c>
      <c r="D77" s="2" t="s">
        <v>204</v>
      </c>
      <c r="E77" s="2"/>
      <c r="F77" s="2"/>
      <c r="G77" s="72">
        <v>2878</v>
      </c>
      <c r="H77" s="6">
        <v>1</v>
      </c>
      <c r="I77" s="6"/>
      <c r="J77" s="10">
        <f t="shared" si="29"/>
        <v>2878</v>
      </c>
      <c r="K77" s="16">
        <f t="shared" si="32"/>
        <v>17.987500000000001</v>
      </c>
      <c r="L77" s="16">
        <f>150*2</f>
        <v>300</v>
      </c>
      <c r="M77" s="22"/>
      <c r="N77" s="5" t="s">
        <v>205</v>
      </c>
    </row>
    <row r="78" spans="1:15" s="52" customFormat="1" x14ac:dyDescent="0.15">
      <c r="A78" s="47"/>
      <c r="B78" s="47"/>
      <c r="C78" s="47"/>
      <c r="D78" s="47"/>
      <c r="E78" s="47"/>
      <c r="F78" s="47"/>
      <c r="G78" s="107"/>
      <c r="H78" s="48"/>
      <c r="I78" s="48"/>
      <c r="J78" s="49"/>
      <c r="K78" s="16"/>
      <c r="L78" s="50"/>
      <c r="M78" s="22"/>
      <c r="N78" s="51"/>
    </row>
    <row r="79" spans="1:15" s="58" customFormat="1" ht="40.5" x14ac:dyDescent="0.15">
      <c r="A79" s="99" t="s">
        <v>174</v>
      </c>
      <c r="B79" s="53"/>
      <c r="C79" s="53" t="s">
        <v>93</v>
      </c>
      <c r="D79" s="53" t="s">
        <v>202</v>
      </c>
      <c r="E79" s="53"/>
      <c r="F79" s="53"/>
      <c r="G79" s="104">
        <v>2060</v>
      </c>
      <c r="H79" s="55">
        <v>1</v>
      </c>
      <c r="I79" s="55"/>
      <c r="J79" s="56">
        <v>2060</v>
      </c>
      <c r="K79" s="16">
        <f t="shared" si="32"/>
        <v>12.875</v>
      </c>
      <c r="L79" s="57"/>
      <c r="M79" s="54"/>
    </row>
    <row r="80" spans="1:15" s="95" customFormat="1" x14ac:dyDescent="0.15">
      <c r="A80" s="89"/>
      <c r="B80" s="89"/>
      <c r="C80" s="89"/>
      <c r="D80" s="89"/>
      <c r="E80" s="89"/>
      <c r="F80" s="89"/>
      <c r="G80" s="105"/>
      <c r="H80" s="90"/>
      <c r="I80" s="90"/>
      <c r="J80" s="91"/>
      <c r="K80" s="92"/>
      <c r="L80" s="92"/>
      <c r="M80" s="93"/>
      <c r="N80" s="94"/>
    </row>
    <row r="81" spans="1:14" s="114" customFormat="1" x14ac:dyDescent="0.15">
      <c r="A81" s="61" t="s">
        <v>94</v>
      </c>
      <c r="B81" s="61"/>
      <c r="C81" s="61" t="s">
        <v>95</v>
      </c>
      <c r="D81" s="61" t="s">
        <v>173</v>
      </c>
      <c r="E81" s="61"/>
      <c r="F81" s="61"/>
      <c r="G81" s="115">
        <v>2400</v>
      </c>
      <c r="H81" s="113">
        <v>0</v>
      </c>
      <c r="I81" s="113"/>
      <c r="J81" s="116">
        <f t="shared" si="29"/>
        <v>0</v>
      </c>
      <c r="K81" s="117">
        <f t="shared" si="32"/>
        <v>0</v>
      </c>
      <c r="L81" s="117"/>
      <c r="M81" s="118"/>
      <c r="N81" s="61"/>
    </row>
    <row r="82" spans="1:14" s="46" customFormat="1" x14ac:dyDescent="0.15">
      <c r="A82" s="41"/>
      <c r="B82" s="41"/>
      <c r="C82" s="41"/>
      <c r="D82" s="41"/>
      <c r="E82" s="41"/>
      <c r="F82" s="41"/>
      <c r="G82" s="108"/>
      <c r="H82" s="60"/>
      <c r="I82" s="43"/>
      <c r="J82" s="44"/>
      <c r="K82" s="16"/>
      <c r="L82" s="45"/>
      <c r="M82" s="42"/>
      <c r="N82" s="5"/>
    </row>
    <row r="83" spans="1:14" s="78" customFormat="1" x14ac:dyDescent="0.15">
      <c r="A83" s="73"/>
      <c r="B83" s="73"/>
      <c r="C83" s="73"/>
      <c r="D83" s="73"/>
      <c r="E83" s="73"/>
      <c r="F83" s="73"/>
      <c r="G83" s="102"/>
      <c r="H83" s="74"/>
      <c r="I83" s="74"/>
      <c r="J83" s="75"/>
      <c r="K83" s="76"/>
      <c r="L83" s="76"/>
      <c r="M83" s="77"/>
      <c r="N83" s="73"/>
    </row>
    <row r="84" spans="1:14" s="58" customFormat="1" ht="36.75" customHeight="1" x14ac:dyDescent="0.15">
      <c r="A84" s="53" t="s">
        <v>156</v>
      </c>
      <c r="B84" s="53"/>
      <c r="C84" s="53" t="s">
        <v>97</v>
      </c>
      <c r="D84" s="88" t="s">
        <v>172</v>
      </c>
      <c r="E84" s="53"/>
      <c r="F84" s="53"/>
      <c r="G84" s="104">
        <f>450/10</f>
        <v>45</v>
      </c>
      <c r="H84" s="55">
        <v>1</v>
      </c>
      <c r="I84" s="55"/>
      <c r="J84" s="56">
        <f>G84*(H84+I84)</f>
        <v>45</v>
      </c>
      <c r="K84" s="16">
        <f t="shared" si="32"/>
        <v>0.28125</v>
      </c>
      <c r="L84" s="57"/>
      <c r="M84" s="54"/>
      <c r="N84" s="5"/>
    </row>
    <row r="85" spans="1:14" s="68" customFormat="1" x14ac:dyDescent="0.15">
      <c r="A85" s="62"/>
      <c r="B85" s="62"/>
      <c r="C85" s="62"/>
      <c r="D85" s="62"/>
      <c r="E85" s="62"/>
      <c r="F85" s="62"/>
      <c r="G85" s="109"/>
      <c r="H85" s="63"/>
      <c r="I85" s="63"/>
      <c r="J85" s="64"/>
      <c r="K85" s="16"/>
      <c r="L85" s="65"/>
      <c r="M85" s="66"/>
      <c r="N85" s="67"/>
    </row>
    <row r="86" spans="1:14" s="68" customFormat="1" x14ac:dyDescent="0.15">
      <c r="A86" s="62"/>
      <c r="B86" s="62"/>
      <c r="C86" s="62"/>
      <c r="D86" s="62"/>
      <c r="E86" s="62"/>
      <c r="F86" s="62"/>
      <c r="G86" s="109"/>
      <c r="H86" s="63"/>
      <c r="I86" s="63"/>
      <c r="J86" s="64"/>
      <c r="K86" s="16"/>
      <c r="L86" s="65"/>
      <c r="M86" s="66"/>
      <c r="N86" s="67"/>
    </row>
    <row r="87" spans="1:14" s="95" customFormat="1" ht="21.75" customHeight="1" x14ac:dyDescent="0.15">
      <c r="A87" s="89"/>
      <c r="B87" s="89"/>
      <c r="C87" s="89"/>
      <c r="D87" s="89"/>
      <c r="E87" s="89"/>
      <c r="F87" s="89"/>
      <c r="G87" s="105"/>
      <c r="H87" s="90"/>
      <c r="I87" s="90"/>
      <c r="J87" s="91"/>
      <c r="K87" s="92"/>
      <c r="L87" s="92"/>
      <c r="M87" s="93"/>
      <c r="N87" s="94"/>
    </row>
    <row r="88" spans="1:14" ht="39.75" customHeight="1" x14ac:dyDescent="0.15">
      <c r="A88" s="70"/>
      <c r="B88" s="2"/>
      <c r="C88" s="2" t="s">
        <v>96</v>
      </c>
      <c r="D88" s="2" t="s">
        <v>203</v>
      </c>
      <c r="E88" s="2" t="s">
        <v>206</v>
      </c>
      <c r="F88" s="2"/>
      <c r="G88" s="72">
        <v>1650</v>
      </c>
      <c r="H88" s="60">
        <v>2</v>
      </c>
      <c r="I88" s="6"/>
      <c r="J88" s="10">
        <f>G88*(H88+I88)</f>
        <v>3300</v>
      </c>
      <c r="K88" s="16">
        <f t="shared" si="32"/>
        <v>20.625</v>
      </c>
      <c r="L88" s="16"/>
      <c r="M88" s="22"/>
      <c r="N88" s="5"/>
    </row>
    <row r="89" spans="1:14" ht="27" x14ac:dyDescent="0.15">
      <c r="A89" s="2" t="s">
        <v>123</v>
      </c>
      <c r="B89" s="2" t="s">
        <v>98</v>
      </c>
      <c r="C89" s="2" t="s">
        <v>99</v>
      </c>
      <c r="D89" s="2"/>
      <c r="E89" s="2"/>
      <c r="F89" s="2" t="s">
        <v>180</v>
      </c>
      <c r="G89" s="72">
        <v>300</v>
      </c>
      <c r="H89" s="6">
        <v>1</v>
      </c>
      <c r="I89" s="6"/>
      <c r="J89" s="10">
        <f t="shared" si="29"/>
        <v>300</v>
      </c>
      <c r="K89" s="16">
        <f t="shared" si="32"/>
        <v>1.875</v>
      </c>
      <c r="L89" s="16"/>
      <c r="M89" s="22"/>
      <c r="N89" s="2"/>
    </row>
    <row r="90" spans="1:14" ht="27" x14ac:dyDescent="0.15">
      <c r="A90" s="2" t="s">
        <v>152</v>
      </c>
      <c r="B90" s="2" t="s">
        <v>153</v>
      </c>
      <c r="C90" s="2" t="s">
        <v>154</v>
      </c>
      <c r="D90" s="2"/>
      <c r="E90" s="2"/>
      <c r="F90" s="2"/>
      <c r="G90" s="72">
        <v>80</v>
      </c>
      <c r="H90" s="22">
        <v>1</v>
      </c>
      <c r="I90" s="6"/>
      <c r="J90" s="10">
        <f t="shared" si="29"/>
        <v>80</v>
      </c>
      <c r="K90" s="16"/>
      <c r="L90" s="16"/>
      <c r="M90" s="22"/>
      <c r="N90" s="2"/>
    </row>
    <row r="91" spans="1:14" ht="27" x14ac:dyDescent="0.15">
      <c r="A91" s="2" t="s">
        <v>100</v>
      </c>
      <c r="B91" s="2" t="s">
        <v>101</v>
      </c>
      <c r="C91" s="2" t="s">
        <v>102</v>
      </c>
      <c r="D91" s="2" t="s">
        <v>103</v>
      </c>
      <c r="E91" s="2" t="s">
        <v>104</v>
      </c>
      <c r="F91" s="2" t="s">
        <v>105</v>
      </c>
      <c r="G91" s="72">
        <f>341/700*80</f>
        <v>38.971428571428575</v>
      </c>
      <c r="H91" s="6">
        <v>1</v>
      </c>
      <c r="I91" s="6"/>
      <c r="J91" s="10">
        <f>G91*(H91+I91)</f>
        <v>38.971428571428575</v>
      </c>
      <c r="K91" s="16">
        <f t="shared" si="32"/>
        <v>0.24357142857142861</v>
      </c>
      <c r="L91" s="16"/>
      <c r="M91" s="22"/>
      <c r="N91" s="2"/>
    </row>
    <row r="92" spans="1:14" ht="40.5" x14ac:dyDescent="0.15">
      <c r="A92" s="2" t="s">
        <v>106</v>
      </c>
      <c r="B92" s="2" t="s">
        <v>107</v>
      </c>
      <c r="C92" s="2"/>
      <c r="D92" s="2" t="s">
        <v>108</v>
      </c>
      <c r="E92" s="2"/>
      <c r="F92" s="2"/>
      <c r="G92" s="72">
        <v>5</v>
      </c>
      <c r="H92" s="6">
        <v>4</v>
      </c>
      <c r="I92" s="6"/>
      <c r="J92" s="10">
        <f>G92*(H92+I92)</f>
        <v>20</v>
      </c>
      <c r="K92" s="16">
        <f t="shared" si="32"/>
        <v>0.125</v>
      </c>
      <c r="L92" s="16"/>
      <c r="M92" s="22"/>
      <c r="N92" s="2"/>
    </row>
    <row r="93" spans="1:14" ht="40.5" x14ac:dyDescent="0.15">
      <c r="A93" s="2" t="s">
        <v>109</v>
      </c>
      <c r="B93" s="2" t="s">
        <v>155</v>
      </c>
      <c r="C93" s="2"/>
      <c r="D93" s="2"/>
      <c r="E93" s="2" t="s">
        <v>181</v>
      </c>
      <c r="F93" s="2"/>
      <c r="G93" s="72">
        <v>5</v>
      </c>
      <c r="H93" s="6">
        <v>2</v>
      </c>
      <c r="I93" s="6"/>
      <c r="J93" s="10">
        <f>G93*(H93+I93)</f>
        <v>10</v>
      </c>
      <c r="K93" s="16">
        <f t="shared" si="32"/>
        <v>6.25E-2</v>
      </c>
      <c r="L93" s="16"/>
      <c r="M93" s="22"/>
      <c r="N93" s="2"/>
    </row>
    <row r="94" spans="1:14" s="46" customFormat="1" x14ac:dyDescent="0.15">
      <c r="A94" s="41" t="s">
        <v>131</v>
      </c>
      <c r="B94" s="41" t="s">
        <v>132</v>
      </c>
      <c r="C94" s="41" t="s">
        <v>133</v>
      </c>
      <c r="D94" s="41"/>
      <c r="E94" s="41"/>
      <c r="F94" s="41"/>
      <c r="G94" s="108">
        <v>6000</v>
      </c>
      <c r="H94" s="60">
        <v>0</v>
      </c>
      <c r="I94" s="43"/>
      <c r="J94" s="44">
        <f>G94*(H94+I94)</f>
        <v>0</v>
      </c>
      <c r="K94" s="16">
        <f>J94/$N$2</f>
        <v>0</v>
      </c>
      <c r="L94" s="45"/>
      <c r="M94" s="42"/>
      <c r="N94" s="41"/>
    </row>
    <row r="95" spans="1:14" x14ac:dyDescent="0.15">
      <c r="A95" s="4"/>
      <c r="B95" s="4"/>
      <c r="C95" s="4"/>
      <c r="D95" s="2"/>
      <c r="E95" s="2"/>
      <c r="F95" s="2"/>
      <c r="G95" s="72"/>
      <c r="H95" s="6"/>
      <c r="I95" s="6"/>
      <c r="J95" s="10"/>
      <c r="K95" s="16"/>
      <c r="L95" s="16"/>
      <c r="M95" s="22"/>
      <c r="N95" s="2"/>
    </row>
    <row r="96" spans="1:14" x14ac:dyDescent="0.15">
      <c r="A96" s="4"/>
      <c r="B96" s="4"/>
      <c r="C96" s="4"/>
      <c r="D96" s="2"/>
      <c r="E96" s="2"/>
      <c r="F96" s="2"/>
      <c r="G96" s="72"/>
      <c r="H96" s="6"/>
      <c r="I96" s="6"/>
      <c r="J96" s="10"/>
      <c r="K96" s="16"/>
      <c r="L96" s="16"/>
      <c r="M96" s="22"/>
      <c r="N96" s="2"/>
    </row>
    <row r="97" spans="1:17" x14ac:dyDescent="0.15">
      <c r="A97" s="2"/>
      <c r="B97" s="2" t="s">
        <v>110</v>
      </c>
      <c r="C97" s="2" t="s">
        <v>111</v>
      </c>
      <c r="D97" s="2" t="s">
        <v>33</v>
      </c>
      <c r="E97" s="2"/>
      <c r="F97" s="2"/>
      <c r="G97" s="72">
        <v>350</v>
      </c>
      <c r="H97" s="6">
        <v>0</v>
      </c>
      <c r="I97" s="6"/>
      <c r="J97" s="10">
        <f>G97*(H97+I97)</f>
        <v>0</v>
      </c>
      <c r="K97" s="16">
        <f t="shared" ref="K97" si="33">J97/$N$2</f>
        <v>0</v>
      </c>
      <c r="L97" s="16"/>
      <c r="M97" s="22"/>
      <c r="N97" s="2"/>
    </row>
    <row r="98" spans="1:17" x14ac:dyDescent="0.15">
      <c r="A98" s="2"/>
      <c r="B98" s="2"/>
      <c r="C98" s="2"/>
      <c r="D98" s="2" t="s">
        <v>14</v>
      </c>
      <c r="E98" s="2"/>
      <c r="F98" s="2"/>
      <c r="G98" s="72"/>
      <c r="H98" s="6"/>
      <c r="I98" s="6"/>
      <c r="J98" s="10"/>
      <c r="K98" s="16"/>
      <c r="L98" s="16"/>
      <c r="M98" s="22"/>
      <c r="N98" s="2"/>
    </row>
    <row r="99" spans="1:17" x14ac:dyDescent="0.15">
      <c r="A99" s="2"/>
      <c r="B99" s="2"/>
      <c r="C99" s="2"/>
      <c r="D99" s="2" t="s">
        <v>112</v>
      </c>
      <c r="E99" s="2"/>
      <c r="F99" s="2"/>
      <c r="G99" s="72"/>
      <c r="H99" s="6"/>
      <c r="I99" s="6"/>
      <c r="J99" s="10"/>
      <c r="K99" s="16"/>
      <c r="L99" s="16"/>
      <c r="M99" s="22"/>
      <c r="N99" s="2"/>
    </row>
    <row r="100" spans="1:17" x14ac:dyDescent="0.15">
      <c r="A100" s="2"/>
      <c r="B100" s="2"/>
      <c r="C100" s="2"/>
      <c r="D100" s="2" t="s">
        <v>147</v>
      </c>
      <c r="E100" s="2"/>
      <c r="F100" s="2"/>
      <c r="G100" s="72"/>
      <c r="H100" s="6"/>
      <c r="I100" s="6"/>
      <c r="J100" s="10"/>
      <c r="K100" s="16"/>
      <c r="L100" s="16"/>
      <c r="M100" s="22"/>
      <c r="N100" s="2"/>
    </row>
    <row r="101" spans="1:17" ht="40.5" x14ac:dyDescent="0.15">
      <c r="A101" s="2"/>
      <c r="B101" s="2"/>
      <c r="C101" s="2" t="s">
        <v>124</v>
      </c>
      <c r="D101" s="2" t="s">
        <v>113</v>
      </c>
      <c r="E101" s="2"/>
      <c r="F101" s="2"/>
      <c r="G101" s="72">
        <v>440</v>
      </c>
      <c r="H101" s="6">
        <v>1</v>
      </c>
      <c r="I101" s="6"/>
      <c r="J101" s="10">
        <f t="shared" ref="J101:J105" si="34">G101*(H101+I101)</f>
        <v>440</v>
      </c>
      <c r="K101" s="16">
        <f>J101/$N$2</f>
        <v>2.75</v>
      </c>
      <c r="L101" s="16"/>
      <c r="M101" s="22"/>
      <c r="N101" s="2"/>
    </row>
    <row r="102" spans="1:17" ht="27" x14ac:dyDescent="0.15">
      <c r="A102" s="2"/>
      <c r="B102" s="2" t="s">
        <v>114</v>
      </c>
      <c r="C102" s="2"/>
      <c r="D102" s="2"/>
      <c r="E102" s="2"/>
      <c r="F102" s="2"/>
      <c r="G102" s="72">
        <v>2000</v>
      </c>
      <c r="H102" s="6">
        <v>1</v>
      </c>
      <c r="I102" s="6"/>
      <c r="J102" s="10">
        <f t="shared" si="34"/>
        <v>2000</v>
      </c>
      <c r="K102" s="16">
        <f>J102/$N$2</f>
        <v>12.5</v>
      </c>
      <c r="L102" s="16"/>
      <c r="M102" s="22">
        <f>O2*45/60*3</f>
        <v>4500</v>
      </c>
      <c r="N102" s="2"/>
    </row>
    <row r="103" spans="1:17" ht="67.5" x14ac:dyDescent="0.15">
      <c r="A103" s="2"/>
      <c r="B103" s="2"/>
      <c r="C103" s="7" t="s">
        <v>139</v>
      </c>
      <c r="D103" s="13" t="s">
        <v>128</v>
      </c>
      <c r="E103" s="2"/>
      <c r="F103" s="14"/>
      <c r="G103" s="72">
        <v>2000</v>
      </c>
      <c r="H103" s="6">
        <v>35</v>
      </c>
      <c r="I103" s="6"/>
      <c r="J103" s="10">
        <f t="shared" si="34"/>
        <v>70000</v>
      </c>
      <c r="K103" s="16">
        <f t="shared" ref="K103:K107" si="35">J103/$N$2</f>
        <v>437.5</v>
      </c>
      <c r="L103" s="16"/>
      <c r="M103" s="22"/>
      <c r="N103" s="2"/>
    </row>
    <row r="104" spans="1:17" x14ac:dyDescent="0.15">
      <c r="A104" s="25"/>
      <c r="B104" s="25" t="s">
        <v>135</v>
      </c>
      <c r="C104" s="37" t="s">
        <v>134</v>
      </c>
      <c r="D104" s="38"/>
      <c r="E104" s="25"/>
      <c r="F104" s="39"/>
      <c r="G104" s="110">
        <v>3000</v>
      </c>
      <c r="H104" s="26">
        <v>1</v>
      </c>
      <c r="I104" s="26"/>
      <c r="J104" s="10">
        <f t="shared" si="34"/>
        <v>3000</v>
      </c>
      <c r="K104" s="16">
        <f t="shared" si="35"/>
        <v>18.75</v>
      </c>
      <c r="L104" s="28"/>
      <c r="M104" s="22">
        <f>O2*3</f>
        <v>6000</v>
      </c>
      <c r="N104" s="25"/>
    </row>
    <row r="105" spans="1:17" x14ac:dyDescent="0.15">
      <c r="A105" s="25"/>
      <c r="B105" s="25" t="s">
        <v>129</v>
      </c>
      <c r="C105" s="37"/>
      <c r="D105" s="38"/>
      <c r="E105" s="25"/>
      <c r="F105" s="39"/>
      <c r="G105" s="110">
        <v>3000</v>
      </c>
      <c r="H105" s="26">
        <v>1</v>
      </c>
      <c r="I105" s="26"/>
      <c r="J105" s="10">
        <f t="shared" si="34"/>
        <v>3000</v>
      </c>
      <c r="K105" s="16">
        <f t="shared" si="35"/>
        <v>18.75</v>
      </c>
      <c r="L105" s="28"/>
      <c r="M105" s="22">
        <f>O2*3</f>
        <v>6000</v>
      </c>
      <c r="N105" s="25"/>
    </row>
    <row r="106" spans="1:17" ht="27" x14ac:dyDescent="0.15">
      <c r="A106" s="25"/>
      <c r="B106" s="25" t="s">
        <v>198</v>
      </c>
      <c r="C106" s="37"/>
      <c r="D106" s="38"/>
      <c r="E106" s="25"/>
      <c r="F106" s="39"/>
      <c r="G106" s="110">
        <v>30000</v>
      </c>
      <c r="H106" s="26">
        <v>1</v>
      </c>
      <c r="I106" s="26"/>
      <c r="J106" s="40">
        <f>G106*(H106+I106)</f>
        <v>30000</v>
      </c>
      <c r="K106" s="16">
        <f t="shared" si="35"/>
        <v>187.5</v>
      </c>
      <c r="L106" s="28"/>
      <c r="M106" s="27"/>
      <c r="N106" s="25"/>
      <c r="Q106" s="16"/>
    </row>
    <row r="107" spans="1:17" ht="27" x14ac:dyDescent="0.15">
      <c r="A107" s="25"/>
      <c r="B107" s="25" t="s">
        <v>164</v>
      </c>
      <c r="C107" s="37"/>
      <c r="D107" s="38" t="s">
        <v>199</v>
      </c>
      <c r="E107" s="25"/>
      <c r="F107" s="39"/>
      <c r="G107" s="110">
        <v>12000</v>
      </c>
      <c r="H107" s="26">
        <v>2</v>
      </c>
      <c r="I107" s="26"/>
      <c r="J107" s="40">
        <f>G107*(H107+I107)</f>
        <v>24000</v>
      </c>
      <c r="K107" s="16">
        <f t="shared" si="35"/>
        <v>150</v>
      </c>
      <c r="L107" s="26">
        <f>20*$N$2</f>
        <v>3200</v>
      </c>
      <c r="M107" s="27">
        <v>10000</v>
      </c>
      <c r="N107" s="25"/>
    </row>
    <row r="108" spans="1:17" ht="81" x14ac:dyDescent="0.15">
      <c r="A108" s="25"/>
      <c r="B108" s="25"/>
      <c r="C108" s="25"/>
      <c r="D108" s="25"/>
      <c r="E108" s="25"/>
      <c r="F108" s="26" t="s">
        <v>115</v>
      </c>
      <c r="G108" s="110"/>
      <c r="H108" s="26"/>
      <c r="I108" s="26"/>
      <c r="J108" s="26">
        <f>SUM(J8:J107)</f>
        <v>180766.66051948053</v>
      </c>
      <c r="K108" s="16">
        <f>J108/$N$2</f>
        <v>1129.7916282467534</v>
      </c>
      <c r="L108" s="26">
        <f>SUM(L8:L107)</f>
        <v>4335.818181818182</v>
      </c>
      <c r="M108" s="26">
        <f>SUM(M8:M107)</f>
        <v>47466.633333333331</v>
      </c>
      <c r="N108" s="25" t="s">
        <v>137</v>
      </c>
      <c r="O108" s="20" t="s">
        <v>116</v>
      </c>
    </row>
    <row r="109" spans="1:17" ht="54" x14ac:dyDescent="0.15">
      <c r="A109" s="25"/>
      <c r="B109" s="25"/>
      <c r="C109" s="25"/>
      <c r="D109" s="25"/>
      <c r="E109" s="25"/>
      <c r="F109" s="26"/>
      <c r="G109" s="110"/>
      <c r="H109" s="26"/>
      <c r="I109" s="26"/>
      <c r="J109" s="26" t="s">
        <v>130</v>
      </c>
      <c r="K109" s="26" t="s">
        <v>120</v>
      </c>
      <c r="L109" s="26" t="s">
        <v>127</v>
      </c>
      <c r="M109" s="26" t="s">
        <v>232</v>
      </c>
      <c r="N109" s="26" t="s">
        <v>235</v>
      </c>
      <c r="O109" s="26" t="s">
        <v>157</v>
      </c>
      <c r="P109" s="26" t="s">
        <v>121</v>
      </c>
      <c r="Q109" s="59"/>
    </row>
    <row r="110" spans="1:17" s="2" customFormat="1" x14ac:dyDescent="0.15">
      <c r="F110" s="2" t="s">
        <v>117</v>
      </c>
      <c r="G110" s="72"/>
      <c r="H110" s="6"/>
      <c r="I110" s="6"/>
      <c r="J110" s="6">
        <f>J108+L108+M108</f>
        <v>232569.11203463204</v>
      </c>
      <c r="K110" s="61"/>
      <c r="L110" s="6">
        <f>J110+K110</f>
        <v>232569.11203463204</v>
      </c>
      <c r="M110" s="6">
        <f>L110*1.1</f>
        <v>255826.02323809525</v>
      </c>
      <c r="N110" s="16">
        <f>((M110)*0.06+40)*0</f>
        <v>0</v>
      </c>
      <c r="O110" s="87">
        <f>M110+N110</f>
        <v>255826.02323809525</v>
      </c>
      <c r="P110" s="16">
        <f>O110/$N$2</f>
        <v>1598.9126452380954</v>
      </c>
    </row>
    <row r="111" spans="1:17" x14ac:dyDescent="0.15">
      <c r="J111" s="29" t="s">
        <v>158</v>
      </c>
      <c r="K111" s="29" t="s">
        <v>158</v>
      </c>
      <c r="L111" s="29" t="s">
        <v>158</v>
      </c>
      <c r="M111" s="29" t="s">
        <v>158</v>
      </c>
      <c r="N111" s="29" t="s">
        <v>158</v>
      </c>
      <c r="O111" s="29" t="s">
        <v>158</v>
      </c>
    </row>
    <row r="112" spans="1:17" x14ac:dyDescent="0.15">
      <c r="J112" s="79">
        <f>J110/$N$2</f>
        <v>1453.5569502164503</v>
      </c>
      <c r="K112" s="79">
        <f t="shared" ref="K112:N112" si="36">K110/$N$2</f>
        <v>0</v>
      </c>
      <c r="L112" s="79">
        <f t="shared" si="36"/>
        <v>1453.5569502164503</v>
      </c>
      <c r="M112" s="79">
        <f t="shared" si="36"/>
        <v>1598.9126452380954</v>
      </c>
      <c r="N112" s="79">
        <f t="shared" si="36"/>
        <v>0</v>
      </c>
    </row>
    <row r="113" spans="1:16" x14ac:dyDescent="0.15">
      <c r="J113" s="29" t="s">
        <v>159</v>
      </c>
      <c r="K113" s="29" t="s">
        <v>159</v>
      </c>
      <c r="L113" s="29" t="s">
        <v>159</v>
      </c>
      <c r="M113" s="29" t="s">
        <v>159</v>
      </c>
      <c r="N113" s="29" t="s">
        <v>159</v>
      </c>
    </row>
    <row r="115" spans="1:16" x14ac:dyDescent="0.15">
      <c r="N115" s="1" t="s">
        <v>162</v>
      </c>
    </row>
    <row r="116" spans="1:16" x14ac:dyDescent="0.15">
      <c r="A116" s="2"/>
      <c r="B116" s="2" t="s">
        <v>150</v>
      </c>
      <c r="C116" s="9"/>
      <c r="D116" s="2"/>
      <c r="E116" s="2"/>
      <c r="F116" s="2"/>
      <c r="G116" s="86">
        <v>8000</v>
      </c>
      <c r="H116" s="6">
        <v>1</v>
      </c>
      <c r="I116" s="6"/>
      <c r="J116" s="6">
        <f>G116*H116</f>
        <v>8000</v>
      </c>
      <c r="K116" s="6">
        <f>J116/$N$2</f>
        <v>50</v>
      </c>
      <c r="L116" s="6"/>
      <c r="M116" s="86"/>
      <c r="N116" s="6">
        <f>J116+L116</f>
        <v>8000</v>
      </c>
      <c r="O116" s="2"/>
    </row>
    <row r="117" spans="1:16" s="114" customFormat="1" x14ac:dyDescent="0.15">
      <c r="A117" s="61"/>
      <c r="B117" s="111"/>
      <c r="D117" s="61"/>
      <c r="E117" s="61"/>
      <c r="F117" s="61"/>
      <c r="G117" s="112"/>
      <c r="H117" s="113"/>
      <c r="I117" s="113"/>
      <c r="J117" s="113"/>
      <c r="K117" s="113"/>
      <c r="L117" s="113"/>
      <c r="M117" s="112"/>
      <c r="N117" s="113"/>
      <c r="O117" s="61"/>
    </row>
    <row r="118" spans="1:16" s="123" customFormat="1" ht="55.5" customHeight="1" x14ac:dyDescent="0.15">
      <c r="A118" s="119"/>
      <c r="B118" s="120"/>
      <c r="C118" s="119"/>
      <c r="D118" s="119"/>
      <c r="E118" s="119"/>
      <c r="F118" s="119"/>
      <c r="G118" s="121"/>
      <c r="H118" s="125"/>
      <c r="I118" s="122"/>
      <c r="J118" s="122"/>
      <c r="K118" s="122"/>
      <c r="L118" s="122"/>
      <c r="M118" s="121"/>
      <c r="N118" s="122"/>
      <c r="O118" s="119"/>
    </row>
    <row r="119" spans="1:16" s="114" customFormat="1" ht="6.75" customHeight="1" x14ac:dyDescent="0.15">
      <c r="A119" s="61"/>
      <c r="B119" s="111"/>
      <c r="C119" s="61"/>
      <c r="D119" s="61"/>
      <c r="E119" s="61"/>
      <c r="F119" s="61"/>
      <c r="G119" s="112"/>
      <c r="H119" s="113"/>
      <c r="I119" s="113"/>
      <c r="J119" s="113"/>
      <c r="K119" s="113"/>
      <c r="L119" s="113"/>
      <c r="M119" s="112"/>
      <c r="N119" s="113"/>
      <c r="O119" s="61"/>
    </row>
    <row r="120" spans="1:16" s="114" customFormat="1" x14ac:dyDescent="0.15">
      <c r="A120" s="61"/>
      <c r="B120" s="111"/>
      <c r="C120" s="61"/>
      <c r="D120" s="61"/>
      <c r="E120" s="61"/>
      <c r="F120" s="61"/>
      <c r="G120" s="112"/>
      <c r="H120" s="113"/>
      <c r="I120" s="113"/>
      <c r="J120" s="113"/>
      <c r="K120" s="113"/>
      <c r="L120" s="113"/>
      <c r="M120" s="112"/>
      <c r="N120" s="113"/>
      <c r="O120" s="61"/>
    </row>
    <row r="121" spans="1:16" s="127" customFormat="1" x14ac:dyDescent="0.15">
      <c r="A121" s="128"/>
      <c r="B121" s="129" t="s">
        <v>237</v>
      </c>
      <c r="C121" s="128"/>
      <c r="D121" s="128"/>
      <c r="E121" s="128"/>
      <c r="F121" s="128"/>
      <c r="G121" s="130">
        <f>550*2+500</f>
        <v>1600</v>
      </c>
      <c r="H121" s="131">
        <v>1</v>
      </c>
      <c r="I121" s="131"/>
      <c r="J121" s="131">
        <f>G121*H121</f>
        <v>1600</v>
      </c>
      <c r="K121" s="131">
        <v>1</v>
      </c>
      <c r="L121" s="131"/>
      <c r="M121" s="130"/>
      <c r="N121" s="131">
        <f>J121+L121</f>
        <v>1600</v>
      </c>
      <c r="O121" s="126"/>
    </row>
    <row r="122" spans="1:16" ht="105.75" customHeight="1" x14ac:dyDescent="0.15">
      <c r="A122" s="2"/>
      <c r="B122" s="2" t="s">
        <v>197</v>
      </c>
      <c r="C122" s="2" t="s">
        <v>228</v>
      </c>
      <c r="D122" s="2"/>
      <c r="E122" s="2"/>
      <c r="F122" s="2"/>
      <c r="G122" s="72">
        <v>3500</v>
      </c>
      <c r="H122" s="6">
        <v>0</v>
      </c>
      <c r="I122" s="6"/>
      <c r="J122" s="6">
        <f>G122*H122</f>
        <v>0</v>
      </c>
      <c r="K122" s="6">
        <f>J122/$N$2</f>
        <v>0</v>
      </c>
      <c r="L122" s="6"/>
      <c r="M122" s="6"/>
      <c r="N122" s="6">
        <v>0</v>
      </c>
      <c r="O122" s="2"/>
    </row>
    <row r="123" spans="1:16" s="123" customFormat="1" ht="105.75" customHeight="1" x14ac:dyDescent="0.15">
      <c r="A123" s="119"/>
      <c r="B123" s="119" t="s">
        <v>233</v>
      </c>
      <c r="C123" s="119"/>
      <c r="D123" s="119"/>
      <c r="E123" s="119"/>
      <c r="F123" s="119"/>
      <c r="G123" s="124">
        <v>1599</v>
      </c>
      <c r="H123" s="122">
        <v>0</v>
      </c>
      <c r="I123" s="122"/>
      <c r="J123" s="122">
        <f>G123*H123</f>
        <v>0</v>
      </c>
      <c r="K123" s="122">
        <f>J123/$N$2</f>
        <v>0</v>
      </c>
      <c r="L123" s="122"/>
      <c r="M123" s="122"/>
      <c r="N123" s="122">
        <f>J123+L123</f>
        <v>0</v>
      </c>
      <c r="O123" s="119"/>
      <c r="P123" s="20" t="s">
        <v>234</v>
      </c>
    </row>
    <row r="124" spans="1:16" ht="88.5" customHeight="1" x14ac:dyDescent="0.15">
      <c r="A124" s="2"/>
      <c r="B124" s="2" t="s">
        <v>151</v>
      </c>
      <c r="C124" s="2" t="s">
        <v>229</v>
      </c>
      <c r="D124" s="2"/>
      <c r="E124" s="2"/>
      <c r="F124" s="2"/>
      <c r="G124" s="72">
        <v>33200</v>
      </c>
      <c r="H124" s="6">
        <v>0</v>
      </c>
      <c r="I124" s="6"/>
      <c r="J124" s="6">
        <f>G124*H124</f>
        <v>0</v>
      </c>
      <c r="K124" s="6">
        <f>J124/$N$2</f>
        <v>0</v>
      </c>
      <c r="L124" s="6"/>
      <c r="M124" s="6"/>
      <c r="N124" s="6">
        <f>J124+L124</f>
        <v>0</v>
      </c>
      <c r="O124" s="22" t="s">
        <v>162</v>
      </c>
    </row>
    <row r="125" spans="1:16" ht="28.5" customHeight="1" x14ac:dyDescent="0.15">
      <c r="M125" s="96" t="s">
        <v>163</v>
      </c>
      <c r="N125" s="97">
        <f>SUM(N116:N124)</f>
        <v>9600</v>
      </c>
      <c r="O125" s="98">
        <f>N125*1.1</f>
        <v>10560</v>
      </c>
    </row>
    <row r="126" spans="1:16" ht="28.5" customHeight="1" x14ac:dyDescent="0.15">
      <c r="M126" s="1"/>
    </row>
    <row r="127" spans="1:16" ht="28.5" customHeight="1" x14ac:dyDescent="0.15">
      <c r="N127" s="6" t="s">
        <v>162</v>
      </c>
      <c r="O127" s="87">
        <f>O110+O125</f>
        <v>266386.02323809522</v>
      </c>
      <c r="P127" s="1" t="s">
        <v>236</v>
      </c>
    </row>
    <row r="128" spans="1:16" ht="99.75" customHeight="1" x14ac:dyDescent="0.15">
      <c r="N128" s="6"/>
      <c r="O128" s="87"/>
    </row>
    <row r="129" spans="1:15" ht="99.75" customHeight="1" x14ac:dyDescent="0.15">
      <c r="N129" s="15"/>
      <c r="O129" s="132"/>
    </row>
    <row r="130" spans="1:15" ht="156" customHeight="1" x14ac:dyDescent="0.15">
      <c r="A130" s="1" t="s">
        <v>118</v>
      </c>
      <c r="B130" s="133"/>
      <c r="C130" s="133"/>
      <c r="D130" s="133"/>
      <c r="E130" s="2" t="s">
        <v>193</v>
      </c>
      <c r="F130" s="2" t="s">
        <v>194</v>
      </c>
      <c r="K130" s="1"/>
      <c r="L130" s="1"/>
      <c r="M130" s="1"/>
    </row>
    <row r="131" spans="1:15" ht="192.75" customHeight="1" x14ac:dyDescent="0.15">
      <c r="A131" s="1" t="s">
        <v>119</v>
      </c>
      <c r="B131" s="133" t="s">
        <v>195</v>
      </c>
      <c r="C131" s="133"/>
      <c r="D131" s="133"/>
      <c r="F131" s="5" t="s">
        <v>196</v>
      </c>
      <c r="K131" s="1"/>
      <c r="L131" s="1"/>
      <c r="M131" s="1"/>
    </row>
    <row r="132" spans="1:15" ht="138.75" customHeight="1" x14ac:dyDescent="0.15">
      <c r="B132" s="133"/>
      <c r="C132" s="133"/>
      <c r="D132" s="133"/>
    </row>
  </sheetData>
  <mergeCells count="3">
    <mergeCell ref="B132:D132"/>
    <mergeCell ref="B130:D130"/>
    <mergeCell ref="B131:D131"/>
  </mergeCells>
  <phoneticPr fontId="6"/>
  <hyperlinks>
    <hyperlink ref="N61" r:id="rId1" xr:uid="{00000000-0004-0000-0000-000000000000}"/>
    <hyperlink ref="N65" r:id="rId2" xr:uid="{00000000-0004-0000-0000-000006000000}"/>
    <hyperlink ref="N53" r:id="rId3" xr:uid="{00000000-0004-0000-0000-000007000000}"/>
    <hyperlink ref="N71" r:id="rId4" xr:uid="{00000000-0004-0000-0000-000009000000}"/>
    <hyperlink ref="O108" r:id="rId5" xr:uid="{00000000-0004-0000-0000-00000A000000}"/>
    <hyperlink ref="F131" r:id="rId6" xr:uid="{00000000-0004-0000-0000-000014000000}"/>
    <hyperlink ref="N77" r:id="rId7" xr:uid="{BA201A2A-B741-4132-A2DC-491C674B042D}"/>
    <hyperlink ref="P123" r:id="rId8" xr:uid="{7DFC7F9A-C8AD-4FB8-9EC9-1B9006CF5042}"/>
  </hyperlinks>
  <pageMargins left="0.74803149606299213" right="0.74803149606299213" top="0.43307086614173229" bottom="0.27559055118110237" header="0.31496062992125984" footer="0.19685039370078741"/>
  <pageSetup paperSize="9" scale="73" firstPageNumber="4294963191" fitToHeight="0" orientation="landscape" horizontalDpi="4294967293" verticalDpi="150" r:id="rId9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/>
  <pageMargins left="0.75" right="0.75" top="1" bottom="1" header="0.51180555555555551" footer="0.51180555555555551"/>
  <pageSetup paperSize="0" scale="0" firstPageNumber="4294963191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kazuhiko kakuta</dc:creator>
  <cp:lastModifiedBy>toa6718</cp:lastModifiedBy>
  <cp:revision/>
  <cp:lastPrinted>2025-06-19T07:39:23Z</cp:lastPrinted>
  <dcterms:created xsi:type="dcterms:W3CDTF">2013-05-15T01:04:58Z</dcterms:created>
  <dcterms:modified xsi:type="dcterms:W3CDTF">2026-05-14T02:22:29Z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